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7935" yWindow="90" windowWidth="16380" windowHeight="8190" tabRatio="427" activeTab="2"/>
  </bookViews>
  <sheets>
    <sheet name="Исходные данные" sheetId="1" r:id="rId1"/>
    <sheet name="Расчет КРП" sheetId="2" r:id="rId2"/>
    <sheet name="Расчет дотации" sheetId="4" r:id="rId3"/>
  </sheets>
  <definedNames>
    <definedName name="___xlfn_COUNTIFS">#N/A</definedName>
    <definedName name="__xlfn_COUNTIFS">NA()</definedName>
    <definedName name="_xlnm._FilterDatabase" localSheetId="2" hidden="1">'Расчет дотации'!#REF!</definedName>
    <definedName name="Excel_BuiltIn__FilterDatabase" localSheetId="2">'Расчет дотации'!#REF!</definedName>
    <definedName name="Excel_BuiltIn_Print_Titles" localSheetId="0">'Исходные данные'!$A$6:$HW$9</definedName>
    <definedName name="Z_287B6B75_F102_4A35_99B4_72102AA4A344__wvu_FilterData" localSheetId="0">'Исходные данные'!$B$9:$E$22</definedName>
    <definedName name="Z_287B6B75_F102_4A35_99B4_72102AA4A344__wvu_FilterData" localSheetId="2">'Расчет дотации'!#REF!</definedName>
    <definedName name="Z_287B6B75_F102_4A35_99B4_72102AA4A344__wvu_PrintArea" localSheetId="0">'Исходные данные'!$B$1:$E$19</definedName>
    <definedName name="Z_287B6B75_F102_4A35_99B4_72102AA4A344__wvu_PrintArea" localSheetId="2">'Расчет дотации'!#REF!</definedName>
    <definedName name="Z_287B6B75_F102_4A35_99B4_72102AA4A344__wvu_PrintTitles" localSheetId="0">'Исходные данные'!$A$6:$HW$9</definedName>
    <definedName name="Z_287B6B75_F102_4A35_99B4_72102AA4A344__wvu_PrintTitles" localSheetId="2">'Расчет дотации'!$A:$A</definedName>
    <definedName name="_xlnm.Print_Titles" localSheetId="0">'Исходные данные'!$6:$9</definedName>
    <definedName name="_xlnm.Print_Titles" localSheetId="2">'Расчет дотации'!$A:$A</definedName>
    <definedName name="_xlnm.Print_Area" localSheetId="0">'Исходные данные'!$A$1:$F$25</definedName>
  </definedNames>
  <calcPr calcId="145621"/>
</workbook>
</file>

<file path=xl/calcChain.xml><?xml version="1.0" encoding="utf-8"?>
<calcChain xmlns="http://schemas.openxmlformats.org/spreadsheetml/2006/main">
  <c r="GJ7" i="4" l="1"/>
  <c r="C7" i="2" l="1"/>
  <c r="D19" i="2"/>
  <c r="D7" i="2"/>
  <c r="D8" i="2" l="1"/>
  <c r="D9" i="2"/>
  <c r="D10" i="2"/>
  <c r="D11" i="2"/>
  <c r="D12" i="2"/>
  <c r="D13" i="2"/>
  <c r="D14" i="2"/>
  <c r="D15" i="2"/>
  <c r="D16" i="2"/>
  <c r="D17" i="2"/>
  <c r="D18" i="2"/>
  <c r="F24" i="1" l="1"/>
  <c r="D22" i="4" l="1"/>
  <c r="C19" i="2"/>
  <c r="E19" i="2" s="1"/>
  <c r="C18" i="2"/>
  <c r="E18" i="2" s="1"/>
  <c r="C17" i="2"/>
  <c r="E17" i="2" s="1"/>
  <c r="C16" i="2"/>
  <c r="E16" i="2" s="1"/>
  <c r="C15" i="2"/>
  <c r="E15" i="2" s="1"/>
  <c r="C14" i="2"/>
  <c r="E14" i="2" s="1"/>
  <c r="C13" i="2"/>
  <c r="E13" i="2" s="1"/>
  <c r="C12" i="2"/>
  <c r="E12" i="2" s="1"/>
  <c r="C11" i="2"/>
  <c r="E11" i="2" s="1"/>
  <c r="C10" i="2"/>
  <c r="E10" i="2" s="1"/>
  <c r="C9" i="2"/>
  <c r="E9" i="2" s="1"/>
  <c r="C8" i="2"/>
  <c r="E8" i="2" s="1"/>
  <c r="E7" i="2"/>
  <c r="D24" i="1" l="1"/>
  <c r="C24" i="1"/>
  <c r="I10" i="4"/>
  <c r="I11" i="4"/>
  <c r="I12" i="4"/>
  <c r="I13" i="4"/>
  <c r="I14" i="4"/>
  <c r="I15" i="4"/>
  <c r="I16" i="4"/>
  <c r="I17" i="4"/>
  <c r="I18" i="4"/>
  <c r="I19" i="4"/>
  <c r="I20" i="4"/>
  <c r="I21" i="4"/>
  <c r="H10" i="4"/>
  <c r="H11" i="4"/>
  <c r="H12" i="4"/>
  <c r="H13" i="4"/>
  <c r="H14" i="4"/>
  <c r="H15" i="4"/>
  <c r="H16" i="4"/>
  <c r="H17" i="4"/>
  <c r="H18" i="4"/>
  <c r="H19" i="4"/>
  <c r="H20" i="4"/>
  <c r="H21" i="4"/>
  <c r="G10" i="4"/>
  <c r="G11" i="4"/>
  <c r="G12" i="4"/>
  <c r="G13" i="4"/>
  <c r="G14" i="4"/>
  <c r="G15" i="4"/>
  <c r="G16" i="4"/>
  <c r="G17" i="4"/>
  <c r="G18" i="4"/>
  <c r="G19" i="4"/>
  <c r="G20" i="4"/>
  <c r="G21" i="4"/>
  <c r="I9" i="4" l="1"/>
  <c r="E22" i="4" l="1"/>
  <c r="B7" i="4"/>
  <c r="C7" i="4" s="1"/>
  <c r="D7" i="4" s="1"/>
  <c r="E7" i="4" s="1"/>
  <c r="F7" i="4" s="1"/>
  <c r="G7" i="4" s="1"/>
  <c r="H7" i="4" s="1"/>
  <c r="I7" i="4" s="1"/>
  <c r="J7" i="4" s="1"/>
  <c r="K7" i="4" s="1"/>
  <c r="G9" i="4"/>
  <c r="H9" i="4"/>
  <c r="B6" i="2"/>
  <c r="G22" i="4" l="1"/>
  <c r="L21" i="4" s="1"/>
  <c r="H22" i="4"/>
  <c r="L7" i="4"/>
  <c r="F22" i="4"/>
  <c r="L9" i="4" l="1"/>
  <c r="K9" i="4"/>
  <c r="M7" i="4"/>
  <c r="N7" i="4" s="1"/>
  <c r="O7" i="4" s="1"/>
  <c r="P7" i="4" s="1"/>
  <c r="Q7" i="4" s="1"/>
  <c r="R7" i="4" s="1"/>
  <c r="S7" i="4" s="1"/>
  <c r="J22" i="4"/>
  <c r="M21" i="4" s="1"/>
  <c r="K14" i="4"/>
  <c r="K12" i="4"/>
  <c r="K17" i="4"/>
  <c r="K15" i="4"/>
  <c r="K11" i="4"/>
  <c r="K10" i="4"/>
  <c r="K16" i="4"/>
  <c r="K13" i="4"/>
  <c r="K19" i="4"/>
  <c r="K20" i="4"/>
  <c r="K18" i="4"/>
  <c r="K21" i="4"/>
  <c r="L18" i="4"/>
  <c r="L11" i="4"/>
  <c r="L20" i="4"/>
  <c r="L15" i="4"/>
  <c r="L13" i="4"/>
  <c r="L10" i="4"/>
  <c r="L19" i="4"/>
  <c r="L12" i="4"/>
  <c r="L17" i="4"/>
  <c r="L14" i="4"/>
  <c r="L16" i="4"/>
  <c r="L22" i="4" l="1"/>
  <c r="T7" i="4"/>
  <c r="U7" i="4" s="1"/>
  <c r="V7" i="4" s="1"/>
  <c r="W7" i="4" s="1"/>
  <c r="X7" i="4" s="1"/>
  <c r="Y7" i="4" s="1"/>
  <c r="M17" i="4"/>
  <c r="M10" i="4"/>
  <c r="M18" i="4"/>
  <c r="M16" i="4"/>
  <c r="M19" i="4"/>
  <c r="M14" i="4"/>
  <c r="M13" i="4"/>
  <c r="M11" i="4"/>
  <c r="M9" i="4"/>
  <c r="M12" i="4"/>
  <c r="M15" i="4"/>
  <c r="M20" i="4"/>
  <c r="N22" i="4" l="1"/>
  <c r="Z7" i="4"/>
  <c r="AA7" i="4" s="1"/>
  <c r="AB7" i="4" s="1"/>
  <c r="AC7" i="4" s="1"/>
  <c r="AD7" i="4" s="1"/>
  <c r="AE7" i="4" s="1"/>
  <c r="AF7" i="4" l="1"/>
  <c r="AG7" i="4" s="1"/>
  <c r="AH7" i="4" s="1"/>
  <c r="AI7" i="4" s="1"/>
  <c r="AJ7" i="4" s="1"/>
  <c r="AK7" i="4" s="1"/>
  <c r="O17" i="4"/>
  <c r="P17" i="4" s="1"/>
  <c r="O20" i="4"/>
  <c r="P20" i="4" s="1"/>
  <c r="O13" i="4"/>
  <c r="P13" i="4" s="1"/>
  <c r="O21" i="4"/>
  <c r="P21" i="4" s="1"/>
  <c r="O12" i="4"/>
  <c r="P12" i="4" s="1"/>
  <c r="O16" i="4"/>
  <c r="P16" i="4" s="1"/>
  <c r="O11" i="4"/>
  <c r="P11" i="4" s="1"/>
  <c r="O15" i="4"/>
  <c r="P15" i="4" s="1"/>
  <c r="O19" i="4"/>
  <c r="P19" i="4" s="1"/>
  <c r="O14" i="4"/>
  <c r="P14" i="4" s="1"/>
  <c r="O18" i="4"/>
  <c r="P18" i="4" s="1"/>
  <c r="O10" i="4"/>
  <c r="P10" i="4" s="1"/>
  <c r="O9" i="4"/>
  <c r="P9" i="4" s="1"/>
  <c r="P22" i="4" l="1"/>
  <c r="Q15" i="4" s="1"/>
  <c r="AL7" i="4"/>
  <c r="AM7" i="4" s="1"/>
  <c r="AN7" i="4" s="1"/>
  <c r="AO7" i="4" s="1"/>
  <c r="AP7" i="4" s="1"/>
  <c r="AQ7" i="4" s="1"/>
  <c r="Q21" i="4" l="1"/>
  <c r="Q17" i="4"/>
  <c r="Q9" i="4"/>
  <c r="Q16" i="4"/>
  <c r="Q11" i="4"/>
  <c r="Q14" i="4"/>
  <c r="Q10" i="4"/>
  <c r="Q12" i="4"/>
  <c r="Q13" i="4"/>
  <c r="Q20" i="4"/>
  <c r="Q18" i="4"/>
  <c r="Q19" i="4"/>
  <c r="AR7" i="4"/>
  <c r="AS7" i="4" s="1"/>
  <c r="AT7" i="4" s="1"/>
  <c r="AU7" i="4" s="1"/>
  <c r="AV7" i="4" s="1"/>
  <c r="AW7" i="4" s="1"/>
  <c r="Q22" i="4" l="1"/>
  <c r="AX7" i="4"/>
  <c r="AY7" i="4" s="1"/>
  <c r="AZ7" i="4" s="1"/>
  <c r="BA7" i="4" s="1"/>
  <c r="BB7" i="4" s="1"/>
  <c r="BC7" i="4" s="1"/>
  <c r="T9" i="4"/>
  <c r="T12" i="4"/>
  <c r="T18" i="4"/>
  <c r="T11" i="4"/>
  <c r="T16" i="4"/>
  <c r="T19" i="4"/>
  <c r="T17" i="4"/>
  <c r="T15" i="4"/>
  <c r="T10" i="4"/>
  <c r="T13" i="4"/>
  <c r="T21" i="4"/>
  <c r="T14" i="4"/>
  <c r="T20" i="4"/>
  <c r="S22" i="4" l="1"/>
  <c r="BD7" i="4"/>
  <c r="BE7" i="4" s="1"/>
  <c r="BF7" i="4" s="1"/>
  <c r="BG7" i="4" s="1"/>
  <c r="BH7" i="4" s="1"/>
  <c r="BI7" i="4" s="1"/>
  <c r="R22" i="4"/>
  <c r="BJ7" i="4" l="1"/>
  <c r="BK7" i="4" s="1"/>
  <c r="BL7" i="4" s="1"/>
  <c r="BM7" i="4" s="1"/>
  <c r="BN7" i="4" s="1"/>
  <c r="BO7" i="4" s="1"/>
  <c r="U17" i="4" l="1"/>
  <c r="V17" i="4" s="1"/>
  <c r="BP7" i="4"/>
  <c r="BQ7" i="4" s="1"/>
  <c r="BR7" i="4" s="1"/>
  <c r="BS7" i="4" s="1"/>
  <c r="U20" i="4"/>
  <c r="V20" i="4" s="1"/>
  <c r="U21" i="4"/>
  <c r="V21" i="4" s="1"/>
  <c r="U19" i="4"/>
  <c r="V19" i="4" s="1"/>
  <c r="U15" i="4"/>
  <c r="V15" i="4" s="1"/>
  <c r="U13" i="4"/>
  <c r="V13" i="4" s="1"/>
  <c r="U11" i="4"/>
  <c r="V11" i="4" s="1"/>
  <c r="U14" i="4"/>
  <c r="V14" i="4" s="1"/>
  <c r="U12" i="4"/>
  <c r="V12" i="4" s="1"/>
  <c r="U18" i="4"/>
  <c r="V18" i="4" s="1"/>
  <c r="U16" i="4"/>
  <c r="V16" i="4" s="1"/>
  <c r="U10" i="4"/>
  <c r="V10" i="4" s="1"/>
  <c r="U9" i="4"/>
  <c r="V9" i="4" l="1"/>
  <c r="BT7" i="4"/>
  <c r="BU7" i="4" s="1"/>
  <c r="BV7" i="4" s="1"/>
  <c r="BW7" i="4" s="1"/>
  <c r="BX7" i="4" s="1"/>
  <c r="BY7" i="4" s="1"/>
  <c r="BZ7" i="4" s="1"/>
  <c r="CA7" i="4" s="1"/>
  <c r="CB7" i="4" s="1"/>
  <c r="CC7" i="4" s="1"/>
  <c r="CD7" i="4" s="1"/>
  <c r="CE7" i="4" s="1"/>
  <c r="CF7" i="4" s="1"/>
  <c r="CG7" i="4" s="1"/>
  <c r="CH7" i="4" s="1"/>
  <c r="CI7" i="4" s="1"/>
  <c r="CJ7" i="4" s="1"/>
  <c r="CK7" i="4" s="1"/>
  <c r="CL7" i="4" s="1"/>
  <c r="CM7" i="4" s="1"/>
  <c r="CN7" i="4" s="1"/>
  <c r="CO7" i="4" s="1"/>
  <c r="CP7" i="4" s="1"/>
  <c r="CQ7" i="4" s="1"/>
  <c r="CR7" i="4" s="1"/>
  <c r="CS7" i="4" s="1"/>
  <c r="CT7" i="4" s="1"/>
  <c r="CU7" i="4" s="1"/>
  <c r="CV7" i="4" s="1"/>
  <c r="CW7" i="4" s="1"/>
  <c r="CX7" i="4" s="1"/>
  <c r="CY7" i="4" s="1"/>
  <c r="CZ7" i="4" s="1"/>
  <c r="DA7" i="4" s="1"/>
  <c r="DB7" i="4" s="1"/>
  <c r="DC7" i="4" s="1"/>
  <c r="DD7" i="4" s="1"/>
  <c r="DE7" i="4" s="1"/>
  <c r="DF7" i="4" s="1"/>
  <c r="DG7" i="4" s="1"/>
  <c r="DH7" i="4" s="1"/>
  <c r="DI7" i="4" s="1"/>
  <c r="DJ7" i="4" s="1"/>
  <c r="DK7" i="4" s="1"/>
  <c r="DL7" i="4" s="1"/>
  <c r="DM7" i="4" s="1"/>
  <c r="DN7" i="4" s="1"/>
  <c r="DO7" i="4" s="1"/>
  <c r="DP7" i="4" s="1"/>
  <c r="DQ7" i="4" s="1"/>
  <c r="DR7" i="4" s="1"/>
  <c r="DS7" i="4" s="1"/>
  <c r="DT7" i="4" s="1"/>
  <c r="DU7" i="4" s="1"/>
  <c r="DV7" i="4" s="1"/>
  <c r="DW7" i="4" s="1"/>
  <c r="DX7" i="4" s="1"/>
  <c r="DY7" i="4" s="1"/>
  <c r="DZ7" i="4" s="1"/>
  <c r="EA7" i="4" s="1"/>
  <c r="V22" i="4" l="1"/>
  <c r="EB7" i="4"/>
  <c r="EC7" i="4" s="1"/>
  <c r="ED7" i="4" s="1"/>
  <c r="EE7" i="4" s="1"/>
  <c r="EF7" i="4" s="1"/>
  <c r="EG7" i="4" s="1"/>
  <c r="EH7" i="4" s="1"/>
  <c r="EI7" i="4" s="1"/>
  <c r="EJ7" i="4" s="1"/>
  <c r="EK7" i="4" s="1"/>
  <c r="EL7" i="4" s="1"/>
  <c r="EM7" i="4" s="1"/>
  <c r="EN7" i="4" s="1"/>
  <c r="EO7" i="4" s="1"/>
  <c r="EP7" i="4" s="1"/>
  <c r="EQ7" i="4" s="1"/>
  <c r="ER7" i="4" s="1"/>
  <c r="ES7" i="4" s="1"/>
  <c r="ET7" i="4" s="1"/>
  <c r="EU7" i="4" s="1"/>
  <c r="EV7" i="4" s="1"/>
  <c r="EW7" i="4" s="1"/>
  <c r="EX7" i="4" s="1"/>
  <c r="EY7" i="4" s="1"/>
  <c r="EZ7" i="4" s="1"/>
  <c r="FA7" i="4" s="1"/>
  <c r="FB7" i="4" s="1"/>
  <c r="FC7" i="4" s="1"/>
  <c r="FD7" i="4" s="1"/>
  <c r="FE7" i="4" s="1"/>
  <c r="FF7" i="4" s="1"/>
  <c r="FG7" i="4" s="1"/>
  <c r="FH7" i="4" s="1"/>
  <c r="FI7" i="4" s="1"/>
  <c r="FJ7" i="4" s="1"/>
  <c r="FK7" i="4" s="1"/>
  <c r="FL7" i="4" s="1"/>
  <c r="FM7" i="4" s="1"/>
  <c r="FN7" i="4" s="1"/>
  <c r="FO7" i="4" s="1"/>
  <c r="FP7" i="4" s="1"/>
  <c r="FQ7" i="4" s="1"/>
  <c r="FR7" i="4" s="1"/>
  <c r="FS7" i="4" s="1"/>
  <c r="FT7" i="4" s="1"/>
  <c r="FU7" i="4" s="1"/>
  <c r="FV7" i="4" s="1"/>
  <c r="FW7" i="4" s="1"/>
  <c r="FX7" i="4" s="1"/>
  <c r="FY7" i="4" s="1"/>
  <c r="FZ7" i="4" s="1"/>
  <c r="GA7" i="4" s="1"/>
  <c r="GB7" i="4" s="1"/>
  <c r="GC7" i="4" s="1"/>
  <c r="GD7" i="4" s="1"/>
  <c r="GE7" i="4" s="1"/>
  <c r="GF7" i="4" s="1"/>
  <c r="GG7" i="4" s="1"/>
  <c r="GH7" i="4" s="1"/>
  <c r="GI7" i="4" s="1"/>
  <c r="GK7" i="4" s="1"/>
  <c r="GL7" i="4" s="1"/>
  <c r="W13" i="4" l="1"/>
  <c r="W12" i="4"/>
  <c r="W20" i="4"/>
  <c r="W10" i="4"/>
  <c r="W15" i="4"/>
  <c r="W14" i="4"/>
  <c r="W17" i="4"/>
  <c r="W11" i="4"/>
  <c r="W21" i="4"/>
  <c r="W18" i="4"/>
  <c r="W9" i="4"/>
  <c r="W19" i="4"/>
  <c r="W16" i="4"/>
  <c r="Z9" i="4" l="1"/>
  <c r="Z14" i="4"/>
  <c r="Z20" i="4"/>
  <c r="Z16" i="4"/>
  <c r="Z17" i="4"/>
  <c r="Z10" i="4"/>
  <c r="Z12" i="4"/>
  <c r="Z15" i="4"/>
  <c r="Z19" i="4"/>
  <c r="Z13" i="4"/>
  <c r="Z11" i="4"/>
  <c r="Z18" i="4"/>
  <c r="Z21" i="4"/>
  <c r="W22" i="4"/>
  <c r="X22" i="4" l="1"/>
  <c r="Y22" i="4"/>
  <c r="AA16" i="4" l="1"/>
  <c r="AB16" i="4" s="1"/>
  <c r="AA10" i="4"/>
  <c r="AB10" i="4" s="1"/>
  <c r="AA17" i="4"/>
  <c r="AB17" i="4" s="1"/>
  <c r="AA14" i="4"/>
  <c r="AB14" i="4" s="1"/>
  <c r="AA13" i="4"/>
  <c r="AB13" i="4" s="1"/>
  <c r="AA21" i="4"/>
  <c r="AB21" i="4" s="1"/>
  <c r="AA9" i="4"/>
  <c r="AB9" i="4" s="1"/>
  <c r="AA19" i="4"/>
  <c r="AB19" i="4" s="1"/>
  <c r="AA18" i="4"/>
  <c r="AB18" i="4" s="1"/>
  <c r="AA15" i="4"/>
  <c r="AB15" i="4" s="1"/>
  <c r="AA11" i="4"/>
  <c r="AB11" i="4" s="1"/>
  <c r="AA12" i="4"/>
  <c r="AB12" i="4" s="1"/>
  <c r="AA20" i="4"/>
  <c r="AB20" i="4" s="1"/>
  <c r="AB22" i="4" l="1"/>
  <c r="AC15" i="4" l="1"/>
  <c r="AC20" i="4"/>
  <c r="AC11" i="4"/>
  <c r="AC10" i="4"/>
  <c r="AC21" i="4"/>
  <c r="AC13" i="4"/>
  <c r="AC12" i="4"/>
  <c r="AC17" i="4"/>
  <c r="AC18" i="4"/>
  <c r="AC14" i="4"/>
  <c r="AC16" i="4"/>
  <c r="AC9" i="4"/>
  <c r="AC19" i="4"/>
  <c r="AF15" i="4" l="1"/>
  <c r="AF10" i="4"/>
  <c r="AF14" i="4"/>
  <c r="AF16" i="4"/>
  <c r="AF17" i="4"/>
  <c r="AF18" i="4"/>
  <c r="AF12" i="4"/>
  <c r="AF19" i="4"/>
  <c r="AF13" i="4"/>
  <c r="AF20" i="4"/>
  <c r="AF9" i="4"/>
  <c r="AC22" i="4"/>
  <c r="AF21" i="4"/>
  <c r="AF11" i="4"/>
  <c r="AD22" i="4" l="1"/>
  <c r="AE22" i="4"/>
  <c r="AG17" i="4" s="1"/>
  <c r="AH17" i="4" s="1"/>
  <c r="AG19" i="4" l="1"/>
  <c r="AH19" i="4" s="1"/>
  <c r="AG13" i="4"/>
  <c r="AH13" i="4" s="1"/>
  <c r="AG10" i="4"/>
  <c r="AH10" i="4" s="1"/>
  <c r="AG15" i="4"/>
  <c r="AH15" i="4" s="1"/>
  <c r="AG14" i="4"/>
  <c r="AH14" i="4" s="1"/>
  <c r="AG16" i="4"/>
  <c r="AH16" i="4" s="1"/>
  <c r="AG9" i="4"/>
  <c r="AH9" i="4" s="1"/>
  <c r="AG20" i="4"/>
  <c r="AH20" i="4" s="1"/>
  <c r="AG12" i="4"/>
  <c r="AH12" i="4" s="1"/>
  <c r="AG11" i="4"/>
  <c r="AH11" i="4" s="1"/>
  <c r="AG21" i="4"/>
  <c r="AH21" i="4" s="1"/>
  <c r="AG18" i="4"/>
  <c r="AH18" i="4" s="1"/>
  <c r="AH22" i="4" l="1"/>
  <c r="AI17" i="4" s="1"/>
  <c r="AI18" i="4" l="1"/>
  <c r="AL18" i="4" s="1"/>
  <c r="AI10" i="4"/>
  <c r="AI21" i="4"/>
  <c r="AL21" i="4" s="1"/>
  <c r="AI13" i="4"/>
  <c r="AL13" i="4" s="1"/>
  <c r="AI19" i="4"/>
  <c r="AL19" i="4" s="1"/>
  <c r="AI14" i="4"/>
  <c r="AL14" i="4" s="1"/>
  <c r="AI11" i="4"/>
  <c r="AI16" i="4"/>
  <c r="AI20" i="4"/>
  <c r="AI12" i="4"/>
  <c r="AI9" i="4"/>
  <c r="AI15" i="4"/>
  <c r="AL15" i="4" s="1"/>
  <c r="AL17" i="4"/>
  <c r="AL9" i="4" l="1"/>
  <c r="AL16" i="4"/>
  <c r="AI22" i="4"/>
  <c r="AL11" i="4"/>
  <c r="AL10" i="4"/>
  <c r="AL12" i="4"/>
  <c r="AL20" i="4"/>
  <c r="AK22" i="4" l="1"/>
  <c r="AM17" i="4" s="1"/>
  <c r="AN17" i="4" s="1"/>
  <c r="AJ22" i="4"/>
  <c r="AM14" i="4" l="1"/>
  <c r="AN14" i="4" s="1"/>
  <c r="AM18" i="4"/>
  <c r="AN18" i="4" s="1"/>
  <c r="AM15" i="4"/>
  <c r="AN15" i="4" s="1"/>
  <c r="AM13" i="4"/>
  <c r="AN13" i="4" s="1"/>
  <c r="AM11" i="4"/>
  <c r="AN11" i="4" s="1"/>
  <c r="AM20" i="4"/>
  <c r="AN20" i="4" s="1"/>
  <c r="AM10" i="4"/>
  <c r="AN10" i="4" s="1"/>
  <c r="AM21" i="4"/>
  <c r="AN21" i="4" s="1"/>
  <c r="AM19" i="4"/>
  <c r="AN19" i="4" s="1"/>
  <c r="AM9" i="4"/>
  <c r="AN9" i="4" s="1"/>
  <c r="AM16" i="4"/>
  <c r="AN16" i="4" s="1"/>
  <c r="AM12" i="4"/>
  <c r="AN12" i="4" s="1"/>
  <c r="AN22" i="4" l="1"/>
  <c r="AO17" i="4" s="1"/>
  <c r="AO13" i="4" l="1"/>
  <c r="AO10" i="4"/>
  <c r="AR10" i="4" s="1"/>
  <c r="AO18" i="4"/>
  <c r="AR18" i="4" s="1"/>
  <c r="AO16" i="4"/>
  <c r="AR16" i="4" s="1"/>
  <c r="AO14" i="4"/>
  <c r="AR14" i="4" s="1"/>
  <c r="AO9" i="4"/>
  <c r="AR9" i="4" s="1"/>
  <c r="AO11" i="4"/>
  <c r="AR11" i="4" s="1"/>
  <c r="AO19" i="4"/>
  <c r="AR19" i="4" s="1"/>
  <c r="AO20" i="4"/>
  <c r="AR20" i="4" s="1"/>
  <c r="AO12" i="4"/>
  <c r="AR12" i="4" s="1"/>
  <c r="AO21" i="4"/>
  <c r="AR21" i="4" s="1"/>
  <c r="AO15" i="4"/>
  <c r="AR15" i="4" s="1"/>
  <c r="AR13" i="4"/>
  <c r="AR17" i="4"/>
  <c r="AO22" i="4" l="1"/>
  <c r="AP22" i="4" s="1"/>
  <c r="AQ22" i="4"/>
  <c r="AS21" i="4" l="1"/>
  <c r="AT21" i="4" s="1"/>
  <c r="AS18" i="4"/>
  <c r="AT18" i="4" s="1"/>
  <c r="AS10" i="4"/>
  <c r="AT10" i="4" s="1"/>
  <c r="AS16" i="4"/>
  <c r="AT16" i="4" s="1"/>
  <c r="AS15" i="4"/>
  <c r="AT15" i="4" s="1"/>
  <c r="AS14" i="4"/>
  <c r="AT14" i="4" s="1"/>
  <c r="AS20" i="4"/>
  <c r="AT20" i="4" s="1"/>
  <c r="AS12" i="4"/>
  <c r="AT12" i="4" s="1"/>
  <c r="AS9" i="4"/>
  <c r="AT9" i="4" s="1"/>
  <c r="AS17" i="4"/>
  <c r="AT17" i="4" s="1"/>
  <c r="AS11" i="4"/>
  <c r="AT11" i="4" s="1"/>
  <c r="AS13" i="4"/>
  <c r="AT13" i="4" s="1"/>
  <c r="AS19" i="4"/>
  <c r="AT19" i="4" s="1"/>
  <c r="AT22" i="4" l="1"/>
  <c r="AU9" i="4" s="1"/>
  <c r="AU10" i="4" l="1"/>
  <c r="AX10" i="4" s="1"/>
  <c r="AU12" i="4"/>
  <c r="AX12" i="4" s="1"/>
  <c r="AU16" i="4"/>
  <c r="AU14" i="4"/>
  <c r="AX14" i="4" s="1"/>
  <c r="AU22" i="4"/>
  <c r="AU11" i="4"/>
  <c r="AU20" i="4"/>
  <c r="AX20" i="4" s="1"/>
  <c r="AU18" i="4"/>
  <c r="AX18" i="4" s="1"/>
  <c r="AU21" i="4"/>
  <c r="AX21" i="4" s="1"/>
  <c r="AU15" i="4"/>
  <c r="AX15" i="4" s="1"/>
  <c r="AU17" i="4"/>
  <c r="AX17" i="4" s="1"/>
  <c r="AU19" i="4"/>
  <c r="AX19" i="4" s="1"/>
  <c r="AU13" i="4"/>
  <c r="AX13" i="4" s="1"/>
  <c r="AX11" i="4"/>
  <c r="AX16" i="4"/>
  <c r="AX9" i="4"/>
  <c r="AW22" i="4" l="1"/>
  <c r="AV22" i="4"/>
  <c r="AY14" i="4" l="1"/>
  <c r="AZ14" i="4" s="1"/>
  <c r="AY16" i="4"/>
  <c r="AZ16" i="4" s="1"/>
  <c r="AY13" i="4"/>
  <c r="AZ13" i="4" s="1"/>
  <c r="AY12" i="4"/>
  <c r="AZ12" i="4" s="1"/>
  <c r="AY18" i="4"/>
  <c r="AZ18" i="4" s="1"/>
  <c r="AY20" i="4"/>
  <c r="AZ20" i="4" s="1"/>
  <c r="AY10" i="4"/>
  <c r="AZ10" i="4" s="1"/>
  <c r="AY19" i="4"/>
  <c r="AZ19" i="4" s="1"/>
  <c r="AY11" i="4"/>
  <c r="AZ11" i="4" s="1"/>
  <c r="AY9" i="4"/>
  <c r="AZ9" i="4" s="1"/>
  <c r="AY15" i="4"/>
  <c r="AZ15" i="4" s="1"/>
  <c r="AY17" i="4"/>
  <c r="AZ17" i="4" s="1"/>
  <c r="AY21" i="4"/>
  <c r="AZ21" i="4" s="1"/>
  <c r="AZ22" i="4" l="1"/>
  <c r="BA17" i="4" s="1"/>
  <c r="BA13" i="4" l="1"/>
  <c r="BA19" i="4"/>
  <c r="BD19" i="4" s="1"/>
  <c r="BA18" i="4"/>
  <c r="BD18" i="4" s="1"/>
  <c r="BA9" i="4"/>
  <c r="BA16" i="4"/>
  <c r="BA21" i="4"/>
  <c r="BA11" i="4"/>
  <c r="BA15" i="4"/>
  <c r="BD15" i="4" s="1"/>
  <c r="BA14" i="4"/>
  <c r="BA12" i="4"/>
  <c r="BD12" i="4" s="1"/>
  <c r="BA20" i="4"/>
  <c r="BA10" i="4"/>
  <c r="BD16" i="4"/>
  <c r="BD17" i="4"/>
  <c r="BA22" i="4" l="1"/>
  <c r="BD9" i="4"/>
  <c r="BD20" i="4"/>
  <c r="BD11" i="4"/>
  <c r="BD14" i="4"/>
  <c r="BD13" i="4"/>
  <c r="BD21" i="4"/>
  <c r="BD10" i="4"/>
  <c r="BC22" i="4" l="1"/>
  <c r="BE13" i="4" s="1"/>
  <c r="BF13" i="4" s="1"/>
  <c r="BB22" i="4"/>
  <c r="BE9" i="4" l="1"/>
  <c r="BF9" i="4" s="1"/>
  <c r="BE12" i="4"/>
  <c r="BF12" i="4" s="1"/>
  <c r="BE11" i="4"/>
  <c r="BF11" i="4" s="1"/>
  <c r="BE20" i="4"/>
  <c r="BF20" i="4" s="1"/>
  <c r="BE21" i="4"/>
  <c r="BF21" i="4" s="1"/>
  <c r="BE14" i="4"/>
  <c r="BF14" i="4" s="1"/>
  <c r="BE18" i="4"/>
  <c r="BF18" i="4" s="1"/>
  <c r="BE15" i="4"/>
  <c r="BF15" i="4" s="1"/>
  <c r="BE19" i="4"/>
  <c r="BF19" i="4" s="1"/>
  <c r="BE17" i="4"/>
  <c r="BF17" i="4" s="1"/>
  <c r="BE16" i="4"/>
  <c r="BF16" i="4" s="1"/>
  <c r="BE10" i="4"/>
  <c r="BF10" i="4" s="1"/>
  <c r="BF22" i="4" l="1"/>
  <c r="BG19" i="4" s="1"/>
  <c r="BG11" i="4" l="1"/>
  <c r="BJ11" i="4" s="1"/>
  <c r="BG14" i="4"/>
  <c r="BJ14" i="4" s="1"/>
  <c r="BG21" i="4"/>
  <c r="BJ21" i="4" s="1"/>
  <c r="BG9" i="4"/>
  <c r="BG18" i="4"/>
  <c r="BJ18" i="4" s="1"/>
  <c r="BG17" i="4"/>
  <c r="BJ17" i="4" s="1"/>
  <c r="BG16" i="4"/>
  <c r="BJ16" i="4" s="1"/>
  <c r="BG13" i="4"/>
  <c r="BJ13" i="4" s="1"/>
  <c r="BG10" i="4"/>
  <c r="BJ10" i="4" s="1"/>
  <c r="BG20" i="4"/>
  <c r="BJ20" i="4" s="1"/>
  <c r="BG15" i="4"/>
  <c r="BJ15" i="4" s="1"/>
  <c r="BG12" i="4"/>
  <c r="BJ12" i="4" s="1"/>
  <c r="BJ19" i="4"/>
  <c r="BJ9" i="4" l="1"/>
  <c r="BG22" i="4"/>
  <c r="BH22" i="4" s="1"/>
  <c r="BI22" i="4"/>
  <c r="BK14" i="4" l="1"/>
  <c r="BL14" i="4" s="1"/>
  <c r="BK20" i="4"/>
  <c r="BL20" i="4" s="1"/>
  <c r="BK13" i="4"/>
  <c r="BL13" i="4" s="1"/>
  <c r="BK11" i="4"/>
  <c r="BL11" i="4" s="1"/>
  <c r="BK12" i="4"/>
  <c r="BL12" i="4" s="1"/>
  <c r="BK17" i="4"/>
  <c r="BL17" i="4" s="1"/>
  <c r="BK19" i="4"/>
  <c r="BL19" i="4" s="1"/>
  <c r="BK18" i="4"/>
  <c r="BL18" i="4" s="1"/>
  <c r="BK9" i="4"/>
  <c r="BL9" i="4" s="1"/>
  <c r="BK10" i="4"/>
  <c r="BL10" i="4" s="1"/>
  <c r="BK15" i="4"/>
  <c r="BL15" i="4" s="1"/>
  <c r="BK16" i="4"/>
  <c r="BL16" i="4" s="1"/>
  <c r="BK21" i="4"/>
  <c r="BL21" i="4" s="1"/>
  <c r="BL22" i="4" l="1"/>
  <c r="BM20" i="4" l="1"/>
  <c r="BM17" i="4"/>
  <c r="BM9" i="4"/>
  <c r="BM12" i="4"/>
  <c r="BM19" i="4"/>
  <c r="BM13" i="4"/>
  <c r="BM10" i="4"/>
  <c r="BM11" i="4"/>
  <c r="BM16" i="4"/>
  <c r="BM21" i="4"/>
  <c r="BM15" i="4"/>
  <c r="BM14" i="4"/>
  <c r="BM18" i="4"/>
  <c r="BM22" i="4" l="1"/>
  <c r="BP16" i="4"/>
  <c r="BP19" i="4"/>
  <c r="BP20" i="4"/>
  <c r="BP18" i="4"/>
  <c r="BP13" i="4"/>
  <c r="BP10" i="4"/>
  <c r="BP9" i="4"/>
  <c r="BP21" i="4"/>
  <c r="BP17" i="4"/>
  <c r="BP15" i="4"/>
  <c r="BP14" i="4"/>
  <c r="BP11" i="4"/>
  <c r="BP12" i="4"/>
  <c r="BO22" i="4" l="1"/>
  <c r="BN22" i="4"/>
  <c r="BQ13" i="4" l="1"/>
  <c r="BR13" i="4" s="1"/>
  <c r="BQ12" i="4"/>
  <c r="BR12" i="4" s="1"/>
  <c r="BQ15" i="4"/>
  <c r="BR15" i="4" s="1"/>
  <c r="BQ14" i="4"/>
  <c r="BR14" i="4" s="1"/>
  <c r="BQ19" i="4"/>
  <c r="BR19" i="4" s="1"/>
  <c r="BQ10" i="4"/>
  <c r="BR10" i="4" s="1"/>
  <c r="BQ20" i="4"/>
  <c r="BR20" i="4" s="1"/>
  <c r="BQ9" i="4"/>
  <c r="BR9" i="4" s="1"/>
  <c r="BQ17" i="4"/>
  <c r="BR17" i="4" s="1"/>
  <c r="BQ11" i="4"/>
  <c r="BR11" i="4" s="1"/>
  <c r="BQ16" i="4"/>
  <c r="BR16" i="4" s="1"/>
  <c r="BQ18" i="4"/>
  <c r="BR18" i="4" s="1"/>
  <c r="BQ21" i="4"/>
  <c r="BR21" i="4" s="1"/>
  <c r="BR22" i="4" l="1"/>
  <c r="BS17" i="4" l="1"/>
  <c r="BS20" i="4"/>
  <c r="BS13" i="4"/>
  <c r="BS16" i="4"/>
  <c r="BS12" i="4"/>
  <c r="BS11" i="4"/>
  <c r="BS18" i="4"/>
  <c r="BS15" i="4"/>
  <c r="BS10" i="4"/>
  <c r="BS9" i="4"/>
  <c r="BS14" i="4"/>
  <c r="BS19" i="4"/>
  <c r="BS21" i="4"/>
  <c r="BS22" i="4" l="1"/>
  <c r="BV21" i="4"/>
  <c r="BV17" i="4"/>
  <c r="BV12" i="4"/>
  <c r="BV13" i="4"/>
  <c r="BV10" i="4"/>
  <c r="BV9" i="4"/>
  <c r="BV11" i="4"/>
  <c r="BV20" i="4"/>
  <c r="BV14" i="4"/>
  <c r="BV18" i="4"/>
  <c r="BV19" i="4"/>
  <c r="BV15" i="4"/>
  <c r="BV16" i="4"/>
  <c r="BT22" i="4"/>
  <c r="BU22" i="4" l="1"/>
  <c r="BW19" i="4" l="1"/>
  <c r="BX19" i="4" s="1"/>
  <c r="BW20" i="4"/>
  <c r="BX20" i="4" s="1"/>
  <c r="BW17" i="4"/>
  <c r="BX17" i="4" s="1"/>
  <c r="BW15" i="4"/>
  <c r="BX15" i="4" s="1"/>
  <c r="BW16" i="4"/>
  <c r="BX16" i="4" s="1"/>
  <c r="BW12" i="4"/>
  <c r="BX12" i="4" s="1"/>
  <c r="BW13" i="4"/>
  <c r="BX13" i="4" s="1"/>
  <c r="BW10" i="4"/>
  <c r="BX10" i="4" s="1"/>
  <c r="BW21" i="4"/>
  <c r="BX21" i="4" s="1"/>
  <c r="BW9" i="4"/>
  <c r="BX9" i="4" s="1"/>
  <c r="BW14" i="4"/>
  <c r="BX14" i="4" s="1"/>
  <c r="BW18" i="4"/>
  <c r="BX18" i="4" s="1"/>
  <c r="BW11" i="4"/>
  <c r="BX11" i="4" s="1"/>
  <c r="BX22" i="4" l="1"/>
  <c r="BY17" i="4" l="1"/>
  <c r="BY9" i="4"/>
  <c r="BY15" i="4"/>
  <c r="BY20" i="4"/>
  <c r="BY18" i="4"/>
  <c r="BY12" i="4"/>
  <c r="BY21" i="4"/>
  <c r="BY16" i="4"/>
  <c r="BY10" i="4"/>
  <c r="BY13" i="4"/>
  <c r="BY14" i="4"/>
  <c r="BY19" i="4"/>
  <c r="BY11" i="4"/>
  <c r="CB19" i="4" l="1"/>
  <c r="CB11" i="4"/>
  <c r="CB14" i="4"/>
  <c r="CB13" i="4"/>
  <c r="CB21" i="4"/>
  <c r="CB20" i="4"/>
  <c r="CB17" i="4"/>
  <c r="CB16" i="4"/>
  <c r="CB18" i="4"/>
  <c r="CB15" i="4"/>
  <c r="CB10" i="4"/>
  <c r="CB12" i="4"/>
  <c r="CB9" i="4"/>
  <c r="BY22" i="4"/>
  <c r="BZ22" i="4" l="1"/>
  <c r="CA22" i="4"/>
  <c r="CC12" i="4" l="1"/>
  <c r="CD12" i="4" s="1"/>
  <c r="CC16" i="4"/>
  <c r="CD16" i="4" s="1"/>
  <c r="CC9" i="4"/>
  <c r="CC10" i="4"/>
  <c r="CD10" i="4" s="1"/>
  <c r="CC14" i="4"/>
  <c r="CD14" i="4" s="1"/>
  <c r="CC13" i="4"/>
  <c r="CD13" i="4" s="1"/>
  <c r="CC17" i="4"/>
  <c r="CD17" i="4" s="1"/>
  <c r="CC15" i="4"/>
  <c r="CD15" i="4" s="1"/>
  <c r="CC19" i="4"/>
  <c r="CD19" i="4" s="1"/>
  <c r="CC21" i="4"/>
  <c r="CD21" i="4" s="1"/>
  <c r="CC11" i="4"/>
  <c r="CD11" i="4" s="1"/>
  <c r="CC20" i="4"/>
  <c r="CD20" i="4" s="1"/>
  <c r="CC18" i="4"/>
  <c r="CD18" i="4" s="1"/>
  <c r="CD9" i="4" l="1"/>
  <c r="CD22" i="4" l="1"/>
  <c r="CE9" i="4" s="1"/>
  <c r="CH9" i="4" l="1"/>
  <c r="CE21" i="4"/>
  <c r="CH21" i="4" s="1"/>
  <c r="CE13" i="4"/>
  <c r="CH13" i="4" s="1"/>
  <c r="CE16" i="4"/>
  <c r="CH16" i="4" s="1"/>
  <c r="CE18" i="4"/>
  <c r="CH18" i="4" s="1"/>
  <c r="CE11" i="4"/>
  <c r="CH11" i="4" s="1"/>
  <c r="CE12" i="4"/>
  <c r="CH12" i="4" s="1"/>
  <c r="CE14" i="4"/>
  <c r="CH14" i="4" s="1"/>
  <c r="CE19" i="4"/>
  <c r="CH19" i="4" s="1"/>
  <c r="CE10" i="4"/>
  <c r="CE15" i="4"/>
  <c r="CH15" i="4" s="1"/>
  <c r="CE17" i="4"/>
  <c r="CH17" i="4" s="1"/>
  <c r="CE20" i="4"/>
  <c r="CH20" i="4" s="1"/>
  <c r="CE22" i="4" l="1"/>
  <c r="CF22" i="4" s="1"/>
  <c r="CH10" i="4"/>
  <c r="CG22" i="4" s="1"/>
  <c r="CI19" i="4" l="1"/>
  <c r="CJ19" i="4" s="1"/>
  <c r="CI14" i="4"/>
  <c r="CJ14" i="4" s="1"/>
  <c r="CI20" i="4"/>
  <c r="CJ20" i="4" s="1"/>
  <c r="CI18" i="4"/>
  <c r="CJ18" i="4" s="1"/>
  <c r="CI17" i="4"/>
  <c r="CJ17" i="4" s="1"/>
  <c r="CI15" i="4"/>
  <c r="CJ15" i="4" s="1"/>
  <c r="CI10" i="4"/>
  <c r="CJ10" i="4" s="1"/>
  <c r="CI16" i="4"/>
  <c r="CJ16" i="4" s="1"/>
  <c r="CI21" i="4"/>
  <c r="CJ21" i="4" s="1"/>
  <c r="CI9" i="4"/>
  <c r="CJ9" i="4" s="1"/>
  <c r="CI13" i="4"/>
  <c r="CJ13" i="4" s="1"/>
  <c r="CI12" i="4"/>
  <c r="CJ12" i="4" s="1"/>
  <c r="CI11" i="4"/>
  <c r="CJ11" i="4" s="1"/>
  <c r="CJ22" i="4" l="1"/>
  <c r="CK9" i="4" s="1"/>
  <c r="CN9" i="4" l="1"/>
  <c r="CK16" i="4"/>
  <c r="CN16" i="4" s="1"/>
  <c r="CK21" i="4"/>
  <c r="CK10" i="4"/>
  <c r="CN10" i="4" s="1"/>
  <c r="CK20" i="4"/>
  <c r="CN20" i="4" s="1"/>
  <c r="CK19" i="4"/>
  <c r="CK13" i="4"/>
  <c r="CN13" i="4" s="1"/>
  <c r="CK18" i="4"/>
  <c r="CN18" i="4" s="1"/>
  <c r="CK14" i="4"/>
  <c r="CN14" i="4" s="1"/>
  <c r="CK12" i="4"/>
  <c r="CN12" i="4" s="1"/>
  <c r="CK17" i="4"/>
  <c r="CN17" i="4" s="1"/>
  <c r="CK11" i="4"/>
  <c r="CN11" i="4" s="1"/>
  <c r="CK15" i="4"/>
  <c r="CN15" i="4" s="1"/>
  <c r="CN19" i="4"/>
  <c r="CN21" i="4"/>
  <c r="CK22" i="4" l="1"/>
  <c r="CM22" i="4"/>
  <c r="CL22" i="4" l="1"/>
  <c r="CO15" i="4"/>
  <c r="CP15" i="4" s="1"/>
  <c r="CO10" i="4"/>
  <c r="CP10" i="4" s="1"/>
  <c r="CO13" i="4"/>
  <c r="CP13" i="4" s="1"/>
  <c r="CO21" i="4"/>
  <c r="CP21" i="4" s="1"/>
  <c r="CO9" i="4"/>
  <c r="CP9" i="4" s="1"/>
  <c r="CO18" i="4"/>
  <c r="CP18" i="4" s="1"/>
  <c r="CO16" i="4"/>
  <c r="CP16" i="4" s="1"/>
  <c r="CO12" i="4"/>
  <c r="CP12" i="4" s="1"/>
  <c r="CO17" i="4"/>
  <c r="CP17" i="4" s="1"/>
  <c r="CO19" i="4"/>
  <c r="CP19" i="4" s="1"/>
  <c r="CO11" i="4"/>
  <c r="CP11" i="4" s="1"/>
  <c r="CO20" i="4"/>
  <c r="CP20" i="4" s="1"/>
  <c r="CO14" i="4"/>
  <c r="CP14" i="4" s="1"/>
  <c r="CP22" i="4" l="1"/>
  <c r="CQ17" i="4" s="1"/>
  <c r="CT17" i="4" l="1"/>
  <c r="CQ12" i="4"/>
  <c r="CQ18" i="4"/>
  <c r="CQ10" i="4"/>
  <c r="CT10" i="4" s="1"/>
  <c r="CQ14" i="4"/>
  <c r="CQ20" i="4"/>
  <c r="CQ15" i="4"/>
  <c r="CQ13" i="4"/>
  <c r="CQ19" i="4"/>
  <c r="CQ21" i="4"/>
  <c r="CQ9" i="4"/>
  <c r="CQ16" i="4"/>
  <c r="CQ11" i="4"/>
  <c r="CT20" i="4"/>
  <c r="CT15" i="4" l="1"/>
  <c r="CT18" i="4"/>
  <c r="CT12" i="4"/>
  <c r="CT21" i="4"/>
  <c r="CT11" i="4"/>
  <c r="CT19" i="4"/>
  <c r="CT14" i="4"/>
  <c r="CT16" i="4"/>
  <c r="CT13" i="4"/>
  <c r="CT9" i="4"/>
  <c r="CQ22" i="4"/>
  <c r="CS22" i="4" l="1"/>
  <c r="CU9" i="4" s="1"/>
  <c r="CV9" i="4" s="1"/>
  <c r="CR22" i="4"/>
  <c r="CU11" i="4" l="1"/>
  <c r="CV11" i="4" s="1"/>
  <c r="CU19" i="4"/>
  <c r="CV19" i="4" s="1"/>
  <c r="CU20" i="4"/>
  <c r="CV20" i="4" s="1"/>
  <c r="CU16" i="4"/>
  <c r="CV16" i="4" s="1"/>
  <c r="CU17" i="4"/>
  <c r="CV17" i="4" s="1"/>
  <c r="CU10" i="4"/>
  <c r="CV10" i="4" s="1"/>
  <c r="CU13" i="4"/>
  <c r="CV13" i="4" s="1"/>
  <c r="CU21" i="4"/>
  <c r="CV21" i="4" s="1"/>
  <c r="CU18" i="4"/>
  <c r="CV18" i="4" s="1"/>
  <c r="CU14" i="4"/>
  <c r="CV14" i="4" s="1"/>
  <c r="CU12" i="4"/>
  <c r="CV12" i="4" s="1"/>
  <c r="CU15" i="4"/>
  <c r="CV15" i="4" s="1"/>
  <c r="CV22" i="4" l="1"/>
  <c r="CW9" i="4" s="1"/>
  <c r="CZ9" i="4" l="1"/>
  <c r="CW21" i="4"/>
  <c r="CZ21" i="4" s="1"/>
  <c r="CW16" i="4"/>
  <c r="CZ16" i="4" s="1"/>
  <c r="CW20" i="4"/>
  <c r="CZ20" i="4" s="1"/>
  <c r="CW17" i="4"/>
  <c r="CZ17" i="4" s="1"/>
  <c r="CW14" i="4"/>
  <c r="CZ14" i="4" s="1"/>
  <c r="CW10" i="4"/>
  <c r="CZ10" i="4" s="1"/>
  <c r="CW13" i="4"/>
  <c r="CZ13" i="4" s="1"/>
  <c r="CW18" i="4"/>
  <c r="CZ18" i="4" s="1"/>
  <c r="CW12" i="4"/>
  <c r="CZ12" i="4" s="1"/>
  <c r="CW19" i="4"/>
  <c r="CZ19" i="4" s="1"/>
  <c r="CW15" i="4"/>
  <c r="CW11" i="4"/>
  <c r="CZ11" i="4" s="1"/>
  <c r="CW22" i="4" l="1"/>
  <c r="CZ15" i="4"/>
  <c r="CY22" i="4" s="1"/>
  <c r="DA10" i="4" s="1"/>
  <c r="DB10" i="4" s="1"/>
  <c r="CX22" i="4" l="1"/>
  <c r="DA9" i="4"/>
  <c r="DB9" i="4" s="1"/>
  <c r="DA18" i="4"/>
  <c r="DB18" i="4" s="1"/>
  <c r="DA16" i="4"/>
  <c r="DB16" i="4" s="1"/>
  <c r="DA12" i="4"/>
  <c r="DB12" i="4" s="1"/>
  <c r="DA21" i="4"/>
  <c r="DB21" i="4" s="1"/>
  <c r="DA20" i="4"/>
  <c r="DB20" i="4" s="1"/>
  <c r="DA14" i="4"/>
  <c r="DB14" i="4" s="1"/>
  <c r="DA15" i="4"/>
  <c r="DB15" i="4" s="1"/>
  <c r="DA13" i="4"/>
  <c r="DB13" i="4" s="1"/>
  <c r="DA11" i="4"/>
  <c r="DB11" i="4" s="1"/>
  <c r="DA17" i="4"/>
  <c r="DB17" i="4" s="1"/>
  <c r="DA19" i="4"/>
  <c r="DB19" i="4" s="1"/>
  <c r="DB22" i="4" l="1"/>
  <c r="DC12" i="4" s="1"/>
  <c r="DF12" i="4" s="1"/>
  <c r="DC13" i="4" l="1"/>
  <c r="DC9" i="4"/>
  <c r="DC16" i="4"/>
  <c r="DF16" i="4" s="1"/>
  <c r="DC17" i="4"/>
  <c r="DF17" i="4" s="1"/>
  <c r="DC21" i="4"/>
  <c r="DF21" i="4" s="1"/>
  <c r="DC11" i="4"/>
  <c r="DF11" i="4" s="1"/>
  <c r="DC10" i="4"/>
  <c r="DF10" i="4" s="1"/>
  <c r="DC15" i="4"/>
  <c r="DF15" i="4" s="1"/>
  <c r="DC20" i="4"/>
  <c r="DF20" i="4" s="1"/>
  <c r="DC19" i="4"/>
  <c r="DF19" i="4" s="1"/>
  <c r="DC14" i="4"/>
  <c r="DC18" i="4"/>
  <c r="DF18" i="4" s="1"/>
  <c r="DF13" i="4"/>
  <c r="DF9" i="4" l="1"/>
  <c r="DC22" i="4"/>
  <c r="DF14" i="4"/>
  <c r="DE22" i="4" s="1"/>
  <c r="DD22" i="4" l="1"/>
  <c r="DG12" i="4"/>
  <c r="DH12" i="4" s="1"/>
  <c r="DG17" i="4"/>
  <c r="DH17" i="4" s="1"/>
  <c r="DG16" i="4"/>
  <c r="DH16" i="4" s="1"/>
  <c r="DG13" i="4"/>
  <c r="DH13" i="4" s="1"/>
  <c r="DG14" i="4"/>
  <c r="DH14" i="4" s="1"/>
  <c r="DG15" i="4"/>
  <c r="DH15" i="4" s="1"/>
  <c r="DG19" i="4"/>
  <c r="DH19" i="4" s="1"/>
  <c r="DG11" i="4"/>
  <c r="DH11" i="4" s="1"/>
  <c r="DG10" i="4"/>
  <c r="DH10" i="4" s="1"/>
  <c r="DG9" i="4"/>
  <c r="DH9" i="4" s="1"/>
  <c r="DG20" i="4"/>
  <c r="DH20" i="4" s="1"/>
  <c r="DG18" i="4"/>
  <c r="DH18" i="4" s="1"/>
  <c r="DG21" i="4"/>
  <c r="DH21" i="4" s="1"/>
  <c r="DH22" i="4" l="1"/>
  <c r="DI15" i="4" s="1"/>
  <c r="DL15" i="4" s="1"/>
  <c r="DI18" i="4" l="1"/>
  <c r="DL18" i="4" s="1"/>
  <c r="DI17" i="4"/>
  <c r="DI16" i="4"/>
  <c r="DL16" i="4" s="1"/>
  <c r="DI14" i="4"/>
  <c r="DL14" i="4" s="1"/>
  <c r="DI10" i="4"/>
  <c r="DL10" i="4" s="1"/>
  <c r="DI12" i="4"/>
  <c r="DL12" i="4" s="1"/>
  <c r="DI11" i="4"/>
  <c r="DL11" i="4" s="1"/>
  <c r="DI13" i="4"/>
  <c r="DL13" i="4" s="1"/>
  <c r="DI21" i="4"/>
  <c r="DL21" i="4" s="1"/>
  <c r="DI19" i="4"/>
  <c r="DL19" i="4" s="1"/>
  <c r="DI20" i="4"/>
  <c r="DL20" i="4" s="1"/>
  <c r="DI9" i="4"/>
  <c r="DL17" i="4"/>
  <c r="DL9" i="4" l="1"/>
  <c r="DK22" i="4" s="1"/>
  <c r="DI22" i="4"/>
  <c r="DJ22" i="4" l="1"/>
  <c r="DM18" i="4"/>
  <c r="DN18" i="4" s="1"/>
  <c r="DM11" i="4"/>
  <c r="DN11" i="4" s="1"/>
  <c r="DM20" i="4"/>
  <c r="DN20" i="4" s="1"/>
  <c r="DM16" i="4"/>
  <c r="DN16" i="4" s="1"/>
  <c r="DM10" i="4"/>
  <c r="DN10" i="4" s="1"/>
  <c r="DM15" i="4"/>
  <c r="DN15" i="4" s="1"/>
  <c r="DM14" i="4"/>
  <c r="DN14" i="4" s="1"/>
  <c r="DM13" i="4"/>
  <c r="DN13" i="4" s="1"/>
  <c r="DM12" i="4"/>
  <c r="DN12" i="4" s="1"/>
  <c r="DM21" i="4"/>
  <c r="DN21" i="4" s="1"/>
  <c r="DM19" i="4"/>
  <c r="DN19" i="4" s="1"/>
  <c r="DM17" i="4"/>
  <c r="DN17" i="4" s="1"/>
  <c r="DM9" i="4"/>
  <c r="DN9" i="4" s="1"/>
  <c r="DN22" i="4" l="1"/>
  <c r="DO10" i="4" s="1"/>
  <c r="GJ10" i="4" s="1"/>
  <c r="DO19" i="4" l="1"/>
  <c r="GJ19" i="4" s="1"/>
  <c r="DO16" i="4"/>
  <c r="GJ16" i="4" s="1"/>
  <c r="DO12" i="4"/>
  <c r="GJ12" i="4" s="1"/>
  <c r="DO9" i="4"/>
  <c r="GJ9" i="4" s="1"/>
  <c r="GK9" i="4" s="1"/>
  <c r="DO20" i="4"/>
  <c r="GJ20" i="4" s="1"/>
  <c r="DO11" i="4"/>
  <c r="GJ11" i="4" s="1"/>
  <c r="DO13" i="4"/>
  <c r="GJ13" i="4" s="1"/>
  <c r="DO15" i="4"/>
  <c r="GJ15" i="4" s="1"/>
  <c r="DO18" i="4"/>
  <c r="GJ18" i="4" s="1"/>
  <c r="DO21" i="4"/>
  <c r="DR21" i="4" s="1"/>
  <c r="DO17" i="4"/>
  <c r="GJ17" i="4" s="1"/>
  <c r="DO14" i="4"/>
  <c r="GJ14" i="4" s="1"/>
  <c r="DR10" i="4"/>
  <c r="DR19" i="4" l="1"/>
  <c r="DR11" i="4"/>
  <c r="DR16" i="4"/>
  <c r="DR12" i="4"/>
  <c r="DR20" i="4"/>
  <c r="DR9" i="4"/>
  <c r="DR13" i="4"/>
  <c r="DR14" i="4"/>
  <c r="DR15" i="4"/>
  <c r="GJ21" i="4"/>
  <c r="DO22" i="4"/>
  <c r="DR18" i="4"/>
  <c r="DR17" i="4"/>
  <c r="DQ22" i="4" l="1"/>
  <c r="DS21" i="4" s="1"/>
  <c r="DT21" i="4" s="1"/>
  <c r="DP22" i="4"/>
  <c r="GJ22" i="4"/>
  <c r="GK22" i="4" s="1"/>
  <c r="DS17" i="4" l="1"/>
  <c r="DT17" i="4" s="1"/>
  <c r="DS12" i="4"/>
  <c r="DT12" i="4" s="1"/>
  <c r="DS16" i="4"/>
  <c r="DT16" i="4" s="1"/>
  <c r="DS10" i="4"/>
  <c r="DT10" i="4" s="1"/>
  <c r="DS9" i="4"/>
  <c r="DT9" i="4" s="1"/>
  <c r="DS15" i="4"/>
  <c r="DT15" i="4" s="1"/>
  <c r="DS11" i="4"/>
  <c r="DT11" i="4" s="1"/>
  <c r="DS19" i="4"/>
  <c r="DT19" i="4" s="1"/>
  <c r="DS20" i="4"/>
  <c r="DT20" i="4" s="1"/>
  <c r="DS13" i="4"/>
  <c r="DT13" i="4" s="1"/>
  <c r="DS18" i="4"/>
  <c r="DT18" i="4" s="1"/>
  <c r="DS14" i="4"/>
  <c r="DT14" i="4" s="1"/>
  <c r="DT22" i="4" l="1"/>
  <c r="DU11" i="4" s="1"/>
  <c r="DX11" i="4" s="1"/>
  <c r="DU18" i="4" l="1"/>
  <c r="DX18" i="4" s="1"/>
  <c r="DU17" i="4"/>
  <c r="DX17" i="4" s="1"/>
  <c r="DU12" i="4"/>
  <c r="DX12" i="4" s="1"/>
  <c r="DU15" i="4"/>
  <c r="DX15" i="4" s="1"/>
  <c r="DU14" i="4"/>
  <c r="DX14" i="4" s="1"/>
  <c r="DU10" i="4"/>
  <c r="DX10" i="4" s="1"/>
  <c r="DU19" i="4"/>
  <c r="DX19" i="4" s="1"/>
  <c r="DU20" i="4"/>
  <c r="DX20" i="4" s="1"/>
  <c r="DU16" i="4"/>
  <c r="DX16" i="4" s="1"/>
  <c r="DU9" i="4"/>
  <c r="DX9" i="4" s="1"/>
  <c r="DU13" i="4"/>
  <c r="DX13" i="4" s="1"/>
  <c r="DU21" i="4"/>
  <c r="DX21" i="4" s="1"/>
  <c r="DW22" i="4" l="1"/>
  <c r="DY10" i="4" s="1"/>
  <c r="DU22" i="4"/>
  <c r="DV22" i="4" s="1"/>
  <c r="DZ10" i="4" l="1"/>
  <c r="DY17" i="4"/>
  <c r="DZ17" i="4" s="1"/>
  <c r="DY14" i="4"/>
  <c r="DZ14" i="4" s="1"/>
  <c r="DY21" i="4"/>
  <c r="DZ21" i="4" s="1"/>
  <c r="DY13" i="4"/>
  <c r="DZ13" i="4" s="1"/>
  <c r="DY19" i="4"/>
  <c r="DZ19" i="4" s="1"/>
  <c r="DY11" i="4"/>
  <c r="DZ11" i="4" s="1"/>
  <c r="DY15" i="4"/>
  <c r="DZ15" i="4" s="1"/>
  <c r="DY16" i="4"/>
  <c r="DZ16" i="4" s="1"/>
  <c r="DY20" i="4"/>
  <c r="DZ20" i="4" s="1"/>
  <c r="DY18" i="4"/>
  <c r="DZ18" i="4" s="1"/>
  <c r="DY9" i="4"/>
  <c r="DZ9" i="4" s="1"/>
  <c r="DY12" i="4"/>
  <c r="DZ12" i="4" s="1"/>
  <c r="DZ22" i="4" l="1"/>
  <c r="EA12" i="4" s="1"/>
  <c r="EA9" i="4"/>
  <c r="EA10" i="4"/>
  <c r="EA13" i="4"/>
  <c r="EA21" i="4"/>
  <c r="EA11" i="4"/>
  <c r="EA20" i="4"/>
  <c r="EA17" i="4"/>
  <c r="EA16" i="4" l="1"/>
  <c r="EA18" i="4"/>
  <c r="EA19" i="4"/>
  <c r="ED19" i="4" s="1"/>
  <c r="EA15" i="4"/>
  <c r="ED15" i="4" s="1"/>
  <c r="EA14" i="4"/>
  <c r="ED14" i="4" s="1"/>
  <c r="ED10" i="4"/>
  <c r="ED9" i="4"/>
  <c r="ED12" i="4"/>
  <c r="ED17" i="4"/>
  <c r="ED11" i="4"/>
  <c r="ED13" i="4"/>
  <c r="ED18" i="4"/>
  <c r="ED20" i="4"/>
  <c r="ED21" i="4"/>
  <c r="ED16" i="4"/>
  <c r="EA22" i="4" l="1"/>
  <c r="EB22" i="4" s="1"/>
  <c r="EC22" i="4"/>
  <c r="EE9" i="4" l="1"/>
  <c r="EF9" i="4" s="1"/>
  <c r="EE19" i="4"/>
  <c r="EF19" i="4" s="1"/>
  <c r="EE21" i="4"/>
  <c r="EF21" i="4" s="1"/>
  <c r="EE14" i="4"/>
  <c r="EF14" i="4" s="1"/>
  <c r="EE18" i="4"/>
  <c r="EF18" i="4" s="1"/>
  <c r="EE15" i="4"/>
  <c r="EF15" i="4" s="1"/>
  <c r="EE17" i="4"/>
  <c r="EF17" i="4" s="1"/>
  <c r="EE10" i="4"/>
  <c r="EF10" i="4" s="1"/>
  <c r="EE12" i="4"/>
  <c r="EF12" i="4" s="1"/>
  <c r="EE16" i="4"/>
  <c r="EF16" i="4" s="1"/>
  <c r="EE20" i="4"/>
  <c r="EF20" i="4" s="1"/>
  <c r="EE11" i="4"/>
  <c r="EF11" i="4" s="1"/>
  <c r="EE13" i="4"/>
  <c r="EF13" i="4" s="1"/>
  <c r="EF22" i="4" l="1"/>
  <c r="EG9" i="4" l="1"/>
  <c r="EG18" i="4"/>
  <c r="EG15" i="4"/>
  <c r="EG20" i="4"/>
  <c r="EG10" i="4"/>
  <c r="EG16" i="4"/>
  <c r="EG13" i="4"/>
  <c r="EG17" i="4"/>
  <c r="EG14" i="4"/>
  <c r="EG12" i="4"/>
  <c r="EG19" i="4"/>
  <c r="EG21" i="4"/>
  <c r="EG11" i="4"/>
  <c r="EJ19" i="4" l="1"/>
  <c r="EJ17" i="4"/>
  <c r="EJ10" i="4"/>
  <c r="EJ18" i="4"/>
  <c r="EJ16" i="4"/>
  <c r="EJ15" i="4"/>
  <c r="EJ21" i="4"/>
  <c r="EJ14" i="4"/>
  <c r="EJ20" i="4"/>
  <c r="EJ12" i="4"/>
  <c r="EJ13" i="4"/>
  <c r="EJ9" i="4"/>
  <c r="EG22" i="4"/>
  <c r="EH22" i="4" s="1"/>
  <c r="EJ11" i="4"/>
  <c r="EI22" i="4" l="1"/>
  <c r="EK21" i="4" l="1"/>
  <c r="EL21" i="4" s="1"/>
  <c r="EK12" i="4"/>
  <c r="EL12" i="4" s="1"/>
  <c r="EK13" i="4"/>
  <c r="EL13" i="4" s="1"/>
  <c r="EK16" i="4"/>
  <c r="EL16" i="4" s="1"/>
  <c r="EK11" i="4"/>
  <c r="EL11" i="4" s="1"/>
  <c r="EK9" i="4"/>
  <c r="EL9" i="4" s="1"/>
  <c r="EK18" i="4"/>
  <c r="EL18" i="4" s="1"/>
  <c r="EK14" i="4"/>
  <c r="EL14" i="4" s="1"/>
  <c r="EK10" i="4"/>
  <c r="EL10" i="4" s="1"/>
  <c r="EK15" i="4"/>
  <c r="EL15" i="4" s="1"/>
  <c r="EK20" i="4"/>
  <c r="EL20" i="4" s="1"/>
  <c r="EK19" i="4"/>
  <c r="EL19" i="4" s="1"/>
  <c r="EK17" i="4"/>
  <c r="EL17" i="4" s="1"/>
  <c r="EL22" i="4" l="1"/>
  <c r="EM11" i="4" l="1"/>
  <c r="EP11" i="4" s="1"/>
  <c r="EM15" i="4"/>
  <c r="EM19" i="4"/>
  <c r="EP19" i="4" s="1"/>
  <c r="EM9" i="4"/>
  <c r="EM16" i="4"/>
  <c r="EP16" i="4" s="1"/>
  <c r="EM21" i="4"/>
  <c r="EP21" i="4" s="1"/>
  <c r="EM17" i="4"/>
  <c r="EP17" i="4" s="1"/>
  <c r="EM14" i="4"/>
  <c r="EP14" i="4" s="1"/>
  <c r="EM18" i="4"/>
  <c r="EP18" i="4" s="1"/>
  <c r="EM10" i="4"/>
  <c r="EP10" i="4" s="1"/>
  <c r="EM12" i="4"/>
  <c r="EM13" i="4"/>
  <c r="EP13" i="4" s="1"/>
  <c r="EM20" i="4"/>
  <c r="EP20" i="4" s="1"/>
  <c r="EP15" i="4"/>
  <c r="EP9" i="4" l="1"/>
  <c r="EM22" i="4"/>
  <c r="EN22" i="4" s="1"/>
  <c r="EP12" i="4"/>
  <c r="EO22" i="4" l="1"/>
  <c r="EQ11" i="4" s="1"/>
  <c r="ER11" i="4" s="1"/>
  <c r="EQ16" i="4" l="1"/>
  <c r="ER16" i="4" s="1"/>
  <c r="EQ18" i="4"/>
  <c r="ER18" i="4" s="1"/>
  <c r="EQ15" i="4"/>
  <c r="ER15" i="4" s="1"/>
  <c r="EQ20" i="4"/>
  <c r="ER20" i="4" s="1"/>
  <c r="EQ10" i="4"/>
  <c r="ER10" i="4" s="1"/>
  <c r="EQ9" i="4"/>
  <c r="ER9" i="4" s="1"/>
  <c r="EQ14" i="4"/>
  <c r="ER14" i="4" s="1"/>
  <c r="EQ12" i="4"/>
  <c r="ER12" i="4" s="1"/>
  <c r="EQ13" i="4"/>
  <c r="ER13" i="4" s="1"/>
  <c r="EQ19" i="4"/>
  <c r="ER19" i="4" s="1"/>
  <c r="EQ17" i="4"/>
  <c r="ER17" i="4" s="1"/>
  <c r="EQ21" i="4"/>
  <c r="ER21" i="4" s="1"/>
  <c r="ER22" i="4" l="1"/>
  <c r="ES17" i="4" s="1"/>
  <c r="EV17" i="4" s="1"/>
  <c r="ES13" i="4" l="1"/>
  <c r="EV13" i="4" s="1"/>
  <c r="ES9" i="4"/>
  <c r="EV9" i="4" s="1"/>
  <c r="ES21" i="4"/>
  <c r="EV21" i="4" s="1"/>
  <c r="ES14" i="4"/>
  <c r="EV14" i="4" s="1"/>
  <c r="ES16" i="4"/>
  <c r="EV16" i="4" s="1"/>
  <c r="ES20" i="4"/>
  <c r="EV20" i="4" s="1"/>
  <c r="ES11" i="4"/>
  <c r="EV11" i="4" s="1"/>
  <c r="ES15" i="4"/>
  <c r="EV15" i="4" s="1"/>
  <c r="ES10" i="4"/>
  <c r="EV10" i="4" s="1"/>
  <c r="ES19" i="4"/>
  <c r="EV19" i="4" s="1"/>
  <c r="ES18" i="4"/>
  <c r="EV18" i="4" s="1"/>
  <c r="ES12" i="4"/>
  <c r="EV12" i="4" s="1"/>
  <c r="EU22" i="4" l="1"/>
  <c r="EW21" i="4" s="1"/>
  <c r="EX21" i="4" s="1"/>
  <c r="ES22" i="4"/>
  <c r="ET22" i="4" s="1"/>
  <c r="EW19" i="4" l="1"/>
  <c r="EX19" i="4" s="1"/>
  <c r="EW9" i="4"/>
  <c r="EX9" i="4" s="1"/>
  <c r="EW12" i="4"/>
  <c r="EX12" i="4" s="1"/>
  <c r="EW10" i="4"/>
  <c r="EX10" i="4" s="1"/>
  <c r="EW13" i="4"/>
  <c r="EX13" i="4" s="1"/>
  <c r="EW16" i="4"/>
  <c r="EX16" i="4" s="1"/>
  <c r="EW11" i="4"/>
  <c r="EX11" i="4" s="1"/>
  <c r="EW14" i="4"/>
  <c r="EX14" i="4" s="1"/>
  <c r="EW17" i="4"/>
  <c r="EX17" i="4" s="1"/>
  <c r="EW20" i="4"/>
  <c r="EX20" i="4" s="1"/>
  <c r="EW15" i="4"/>
  <c r="EX15" i="4" s="1"/>
  <c r="EW18" i="4"/>
  <c r="EX18" i="4" s="1"/>
  <c r="EX22" i="4" l="1"/>
  <c r="EY13" i="4" s="1"/>
  <c r="EY18" i="4" l="1"/>
  <c r="FB18" i="4" s="1"/>
  <c r="EY15" i="4"/>
  <c r="FB15" i="4" s="1"/>
  <c r="EY16" i="4"/>
  <c r="FB16" i="4" s="1"/>
  <c r="EY21" i="4"/>
  <c r="FB21" i="4" s="1"/>
  <c r="EY11" i="4"/>
  <c r="FB11" i="4" s="1"/>
  <c r="EY10" i="4"/>
  <c r="FB10" i="4" s="1"/>
  <c r="EY20" i="4"/>
  <c r="FB20" i="4" s="1"/>
  <c r="EY12" i="4"/>
  <c r="FB12" i="4" s="1"/>
  <c r="EY9" i="4"/>
  <c r="FB9" i="4" s="1"/>
  <c r="EY17" i="4"/>
  <c r="FB17" i="4" s="1"/>
  <c r="EY14" i="4"/>
  <c r="FB14" i="4" s="1"/>
  <c r="EY19" i="4"/>
  <c r="FB19" i="4" s="1"/>
  <c r="FB13" i="4"/>
  <c r="EY22" i="4" l="1"/>
  <c r="EZ22" i="4" s="1"/>
  <c r="FA22" i="4"/>
  <c r="FC20" i="4" l="1"/>
  <c r="FD20" i="4" s="1"/>
  <c r="FC16" i="4"/>
  <c r="FD16" i="4" s="1"/>
  <c r="FC12" i="4"/>
  <c r="FD12" i="4" s="1"/>
  <c r="FC21" i="4"/>
  <c r="FD21" i="4" s="1"/>
  <c r="FC17" i="4"/>
  <c r="FD17" i="4" s="1"/>
  <c r="FC13" i="4"/>
  <c r="FD13" i="4" s="1"/>
  <c r="FC9" i="4"/>
  <c r="FD9" i="4" s="1"/>
  <c r="FC18" i="4"/>
  <c r="FD18" i="4" s="1"/>
  <c r="FC14" i="4"/>
  <c r="FD14" i="4" s="1"/>
  <c r="FC10" i="4"/>
  <c r="FD10" i="4" s="1"/>
  <c r="FC19" i="4"/>
  <c r="FD19" i="4" s="1"/>
  <c r="FC15" i="4"/>
  <c r="FD15" i="4" s="1"/>
  <c r="FC11" i="4"/>
  <c r="FD11" i="4" s="1"/>
  <c r="FD22" i="4" l="1"/>
  <c r="FE15" i="4" l="1"/>
  <c r="FE16" i="4"/>
  <c r="FE17" i="4"/>
  <c r="FE10" i="4"/>
  <c r="FE18" i="4"/>
  <c r="FE13" i="4"/>
  <c r="FE19" i="4"/>
  <c r="FE20" i="4"/>
  <c r="FE21" i="4"/>
  <c r="FE9" i="4"/>
  <c r="FE11" i="4"/>
  <c r="FE14" i="4"/>
  <c r="FE12" i="4"/>
  <c r="FH21" i="4" l="1"/>
  <c r="FH13" i="4"/>
  <c r="FH17" i="4"/>
  <c r="FH15" i="4"/>
  <c r="FH14" i="4"/>
  <c r="FH10" i="4"/>
  <c r="FE22" i="4"/>
  <c r="FF22" i="4" s="1"/>
  <c r="FH9" i="4"/>
  <c r="FH16" i="4"/>
  <c r="FH19" i="4"/>
  <c r="FH12" i="4"/>
  <c r="FH11" i="4"/>
  <c r="FH20" i="4"/>
  <c r="FH18" i="4"/>
  <c r="FG22" i="4" l="1"/>
  <c r="FI15" i="4" l="1"/>
  <c r="FJ15" i="4" s="1"/>
  <c r="FI20" i="4"/>
  <c r="FJ20" i="4" s="1"/>
  <c r="FI16" i="4"/>
  <c r="FJ16" i="4" s="1"/>
  <c r="FI12" i="4"/>
  <c r="FJ12" i="4" s="1"/>
  <c r="FI21" i="4"/>
  <c r="FJ21" i="4" s="1"/>
  <c r="FI17" i="4"/>
  <c r="FJ17" i="4" s="1"/>
  <c r="FI13" i="4"/>
  <c r="FJ13" i="4" s="1"/>
  <c r="FI9" i="4"/>
  <c r="FJ9" i="4" s="1"/>
  <c r="FI18" i="4"/>
  <c r="FJ18" i="4" s="1"/>
  <c r="FI14" i="4"/>
  <c r="FJ14" i="4" s="1"/>
  <c r="FI10" i="4"/>
  <c r="FJ10" i="4" s="1"/>
  <c r="FI19" i="4"/>
  <c r="FJ19" i="4" s="1"/>
  <c r="FI11" i="4"/>
  <c r="FJ11" i="4" s="1"/>
  <c r="FJ22" i="4" l="1"/>
  <c r="FK16" i="4" l="1"/>
  <c r="FK11" i="4"/>
  <c r="FK19" i="4"/>
  <c r="FK15" i="4"/>
  <c r="FK20" i="4"/>
  <c r="FK12" i="4"/>
  <c r="FK21" i="4"/>
  <c r="FK9" i="4"/>
  <c r="FK17" i="4"/>
  <c r="FK10" i="4"/>
  <c r="FK14" i="4"/>
  <c r="FK18" i="4"/>
  <c r="FK13" i="4"/>
  <c r="FN14" i="4" l="1"/>
  <c r="FN10" i="4"/>
  <c r="FN18" i="4"/>
  <c r="FN21" i="4"/>
  <c r="FN20" i="4"/>
  <c r="FN19" i="4"/>
  <c r="FN16" i="4"/>
  <c r="FK22" i="4"/>
  <c r="FL22" i="4" s="1"/>
  <c r="FN9" i="4"/>
  <c r="FN15" i="4"/>
  <c r="FN13" i="4"/>
  <c r="FN17" i="4"/>
  <c r="FN12" i="4"/>
  <c r="FN11" i="4"/>
  <c r="FM22" i="4" l="1"/>
  <c r="FO19" i="4" l="1"/>
  <c r="FP19" i="4" s="1"/>
  <c r="FO20" i="4"/>
  <c r="FP20" i="4" s="1"/>
  <c r="FO16" i="4"/>
  <c r="FP16" i="4" s="1"/>
  <c r="FO12" i="4"/>
  <c r="FP12" i="4" s="1"/>
  <c r="FO21" i="4"/>
  <c r="FP21" i="4" s="1"/>
  <c r="FO17" i="4"/>
  <c r="FP17" i="4" s="1"/>
  <c r="FO13" i="4"/>
  <c r="FP13" i="4" s="1"/>
  <c r="FO9" i="4"/>
  <c r="FP9" i="4" s="1"/>
  <c r="FO18" i="4"/>
  <c r="FP18" i="4" s="1"/>
  <c r="FO14" i="4"/>
  <c r="FP14" i="4" s="1"/>
  <c r="FO10" i="4"/>
  <c r="FP10" i="4" s="1"/>
  <c r="FO15" i="4"/>
  <c r="FP15" i="4" s="1"/>
  <c r="FO11" i="4"/>
  <c r="FP11" i="4" s="1"/>
  <c r="FP22" i="4" l="1"/>
  <c r="FQ19" i="4" l="1"/>
  <c r="FQ14" i="4"/>
  <c r="FQ10" i="4"/>
  <c r="FQ12" i="4"/>
  <c r="FQ16" i="4"/>
  <c r="FQ15" i="4"/>
  <c r="FQ11" i="4"/>
  <c r="FQ20" i="4"/>
  <c r="FQ18" i="4"/>
  <c r="FQ17" i="4"/>
  <c r="FQ21" i="4"/>
  <c r="FQ13" i="4"/>
  <c r="FQ9" i="4"/>
  <c r="FT13" i="4" l="1"/>
  <c r="FT18" i="4"/>
  <c r="FT11" i="4"/>
  <c r="FT12" i="4"/>
  <c r="FT14" i="4"/>
  <c r="FQ22" i="4"/>
  <c r="FR22" i="4" s="1"/>
  <c r="FT9" i="4"/>
  <c r="FT16" i="4"/>
  <c r="FT10" i="4"/>
  <c r="FT17" i="4"/>
  <c r="FT20" i="4"/>
  <c r="FT15" i="4"/>
  <c r="FT19" i="4"/>
  <c r="FT21" i="4"/>
  <c r="FS22" i="4" l="1"/>
  <c r="FU19" i="4" l="1"/>
  <c r="FV19" i="4" s="1"/>
  <c r="FU15" i="4"/>
  <c r="FV15" i="4" s="1"/>
  <c r="FU20" i="4"/>
  <c r="FV20" i="4" s="1"/>
  <c r="FU16" i="4"/>
  <c r="FV16" i="4" s="1"/>
  <c r="FU12" i="4"/>
  <c r="FV12" i="4" s="1"/>
  <c r="FU21" i="4"/>
  <c r="FV21" i="4" s="1"/>
  <c r="FU17" i="4"/>
  <c r="FV17" i="4" s="1"/>
  <c r="FU13" i="4"/>
  <c r="FV13" i="4" s="1"/>
  <c r="FU9" i="4"/>
  <c r="FV9" i="4" s="1"/>
  <c r="FU18" i="4"/>
  <c r="FV18" i="4" s="1"/>
  <c r="FU14" i="4"/>
  <c r="FV14" i="4" s="1"/>
  <c r="FU10" i="4"/>
  <c r="FV10" i="4" s="1"/>
  <c r="FU11" i="4"/>
  <c r="FV11" i="4" s="1"/>
  <c r="FV22" i="4" l="1"/>
  <c r="FW21" i="4" l="1"/>
  <c r="FW18" i="4"/>
  <c r="FW12" i="4"/>
  <c r="FW19" i="4"/>
  <c r="FW20" i="4"/>
  <c r="FW13" i="4"/>
  <c r="FW9" i="4"/>
  <c r="FW10" i="4"/>
  <c r="FW11" i="4"/>
  <c r="FW16" i="4"/>
  <c r="FW17" i="4"/>
  <c r="FW14" i="4"/>
  <c r="FW15" i="4"/>
  <c r="FZ16" i="4" l="1"/>
  <c r="FZ19" i="4"/>
  <c r="FZ21" i="4"/>
  <c r="FZ14" i="4"/>
  <c r="FZ20" i="4"/>
  <c r="FZ18" i="4"/>
  <c r="FZ10" i="4"/>
  <c r="FZ15" i="4"/>
  <c r="FZ17" i="4"/>
  <c r="FZ11" i="4"/>
  <c r="FZ13" i="4"/>
  <c r="FZ12" i="4"/>
  <c r="FW22" i="4"/>
  <c r="FX22" i="4" s="1"/>
  <c r="FZ9" i="4"/>
  <c r="FY22" i="4" l="1"/>
  <c r="GA12" i="4" l="1"/>
  <c r="GB12" i="4" s="1"/>
  <c r="GA19" i="4"/>
  <c r="GB19" i="4" s="1"/>
  <c r="GA13" i="4"/>
  <c r="GB13" i="4" s="1"/>
  <c r="GA9" i="4"/>
  <c r="GB9" i="4" s="1"/>
  <c r="GA11" i="4"/>
  <c r="GB11" i="4" s="1"/>
  <c r="GA10" i="4"/>
  <c r="GB10" i="4" s="1"/>
  <c r="GA17" i="4"/>
  <c r="GB17" i="4" s="1"/>
  <c r="GA15" i="4"/>
  <c r="GB15" i="4" s="1"/>
  <c r="GA18" i="4"/>
  <c r="GB18" i="4" s="1"/>
  <c r="GA20" i="4"/>
  <c r="GB20" i="4" s="1"/>
  <c r="GA14" i="4"/>
  <c r="GB14" i="4" s="1"/>
  <c r="GA21" i="4"/>
  <c r="GB21" i="4" s="1"/>
  <c r="GA16" i="4"/>
  <c r="GB16" i="4" s="1"/>
  <c r="GB22" i="4" l="1"/>
  <c r="GC12" i="4" s="1"/>
  <c r="GC16" i="4" l="1"/>
  <c r="GF16" i="4" s="1"/>
  <c r="GC19" i="4"/>
  <c r="GC21" i="4"/>
  <c r="GF21" i="4" s="1"/>
  <c r="GC10" i="4"/>
  <c r="GF10" i="4" s="1"/>
  <c r="GC18" i="4"/>
  <c r="GF18" i="4" s="1"/>
  <c r="GC13" i="4"/>
  <c r="GF13" i="4" s="1"/>
  <c r="GC20" i="4"/>
  <c r="GF20" i="4" s="1"/>
  <c r="GC9" i="4"/>
  <c r="GF9" i="4" s="1"/>
  <c r="GC15" i="4"/>
  <c r="GF15" i="4" s="1"/>
  <c r="GC17" i="4"/>
  <c r="GF17" i="4" s="1"/>
  <c r="GC14" i="4"/>
  <c r="GC11" i="4"/>
  <c r="GF11" i="4" s="1"/>
  <c r="GF12" i="4"/>
  <c r="GF19" i="4"/>
  <c r="GF14" i="4"/>
  <c r="GC22" i="4" l="1"/>
  <c r="GD22" i="4" s="1"/>
  <c r="GE22" i="4"/>
  <c r="GG11" i="4" l="1"/>
  <c r="GH11" i="4" s="1"/>
  <c r="GG9" i="4"/>
  <c r="GH9" i="4" s="1"/>
  <c r="GG20" i="4"/>
  <c r="GH20" i="4" s="1"/>
  <c r="GG18" i="4"/>
  <c r="GH18" i="4" s="1"/>
  <c r="GG14" i="4"/>
  <c r="GH14" i="4" s="1"/>
  <c r="GG21" i="4"/>
  <c r="GH21" i="4" s="1"/>
  <c r="GG16" i="4"/>
  <c r="GH16" i="4" s="1"/>
  <c r="GG19" i="4"/>
  <c r="GH19" i="4" s="1"/>
  <c r="GG10" i="4"/>
  <c r="GH10" i="4" s="1"/>
  <c r="GG17" i="4"/>
  <c r="GH17" i="4" s="1"/>
  <c r="GG12" i="4"/>
  <c r="GH12" i="4" s="1"/>
  <c r="GG15" i="4"/>
  <c r="GH15" i="4" s="1"/>
  <c r="GG13" i="4"/>
  <c r="GH13" i="4" s="1"/>
  <c r="GH22" i="4" l="1"/>
  <c r="GI14" i="4" s="1"/>
  <c r="GK14" i="4" s="1"/>
  <c r="GI9" i="4" l="1"/>
  <c r="GI11" i="4"/>
  <c r="GK11" i="4" s="1"/>
  <c r="GI12" i="4"/>
  <c r="GK12" i="4" s="1"/>
  <c r="GI20" i="4"/>
  <c r="GK20" i="4" s="1"/>
  <c r="GI10" i="4"/>
  <c r="GK10" i="4" s="1"/>
  <c r="GI21" i="4"/>
  <c r="GK21" i="4" s="1"/>
  <c r="GI17" i="4"/>
  <c r="GK17" i="4" s="1"/>
  <c r="GI16" i="4"/>
  <c r="GK16" i="4" s="1"/>
  <c r="GI19" i="4"/>
  <c r="GK19" i="4" s="1"/>
  <c r="GI13" i="4"/>
  <c r="GK13" i="4" s="1"/>
  <c r="GI15" i="4"/>
  <c r="GK15" i="4" s="1"/>
  <c r="GI18" i="4"/>
  <c r="GK18" i="4" s="1"/>
  <c r="GL14" i="4"/>
  <c r="GL10" i="4" l="1"/>
  <c r="GL16" i="4"/>
  <c r="GL20" i="4"/>
  <c r="GL13" i="4"/>
  <c r="GL11" i="4"/>
  <c r="GL19" i="4"/>
  <c r="GL21" i="4"/>
  <c r="GL12" i="4"/>
  <c r="GI22" i="4"/>
  <c r="GL18" i="4"/>
  <c r="GL15" i="4"/>
  <c r="GL17" i="4"/>
  <c r="GL9" i="4"/>
</calcChain>
</file>

<file path=xl/sharedStrings.xml><?xml version="1.0" encoding="utf-8"?>
<sst xmlns="http://schemas.openxmlformats.org/spreadsheetml/2006/main" count="1591" uniqueCount="199">
  <si>
    <t>№ п/п</t>
  </si>
  <si>
    <t>Нi</t>
  </si>
  <si>
    <t>НПi</t>
  </si>
  <si>
    <t>наименование</t>
  </si>
  <si>
    <t>рублей</t>
  </si>
  <si>
    <t>человек</t>
  </si>
  <si>
    <t>Итого</t>
  </si>
  <si>
    <t>Поселение</t>
  </si>
  <si>
    <t>х</t>
  </si>
  <si>
    <t>в том числе</t>
  </si>
  <si>
    <t>на первом этапе</t>
  </si>
  <si>
    <t>на втором этапе</t>
  </si>
  <si>
    <t>Численность населения на начало текущего года</t>
  </si>
  <si>
    <t>Налоговый потенциал поселений на планируемый год до выравнивания</t>
  </si>
  <si>
    <t>по 1 критерию</t>
  </si>
  <si>
    <t>по 2 критерию</t>
  </si>
  <si>
    <t>по 3 критерию</t>
  </si>
  <si>
    <t>по 4 критерию</t>
  </si>
  <si>
    <t>по 5 критерию</t>
  </si>
  <si>
    <t>по 6 критерию</t>
  </si>
  <si>
    <t>по 7 критерию</t>
  </si>
  <si>
    <t>по 8 критерию</t>
  </si>
  <si>
    <t>по 9 критерию</t>
  </si>
  <si>
    <t>по 10 критерию</t>
  </si>
  <si>
    <t>Распределено по 1 критерию</t>
  </si>
  <si>
    <t>Объем дотаций, распределяемый по 2 критерию</t>
  </si>
  <si>
    <t>Распределено по 2 критерию</t>
  </si>
  <si>
    <t>Объем дотаций, распределяемый по 3 критерию</t>
  </si>
  <si>
    <t>Распределено по 3 критерию</t>
  </si>
  <si>
    <t>Объем дотаций, распределяемый по 4 критерию</t>
  </si>
  <si>
    <t>Распределено по 4 критерию</t>
  </si>
  <si>
    <t>Объем дотаций, распределяемый по 5 критерию</t>
  </si>
  <si>
    <t>Распределено по 5 критерию</t>
  </si>
  <si>
    <t>Объем дотаций, распределяемый по 6 критерию</t>
  </si>
  <si>
    <t>Распределено по 6 критерию</t>
  </si>
  <si>
    <t>Объем дотаций, распределяемый по 7 критерию</t>
  </si>
  <si>
    <t>Распределено по 7 критерию</t>
  </si>
  <si>
    <t>Объем дотаций, распределяемый по 8 критерию</t>
  </si>
  <si>
    <t>Распределено по 8 критерию</t>
  </si>
  <si>
    <t>Объем дотаций, распределяемый по 9 критерию</t>
  </si>
  <si>
    <t>Распределено по 9 критерию</t>
  </si>
  <si>
    <t>Объем дотаций, распределяемый по 10 критерию</t>
  </si>
  <si>
    <t>Распределено по 10 критерию</t>
  </si>
  <si>
    <t>Ф</t>
  </si>
  <si>
    <t>С1</t>
  </si>
  <si>
    <t>Ф1</t>
  </si>
  <si>
    <t>С2</t>
  </si>
  <si>
    <t>Ф2</t>
  </si>
  <si>
    <t>БОi</t>
  </si>
  <si>
    <t>Ф1i</t>
  </si>
  <si>
    <t>процент</t>
  </si>
  <si>
    <t>единиц</t>
  </si>
  <si>
    <t>I этап</t>
  </si>
  <si>
    <t>Ф2i</t>
  </si>
  <si>
    <t>Оit</t>
  </si>
  <si>
    <r>
      <t>Кit</t>
    </r>
    <r>
      <rPr>
        <vertAlign val="superscript"/>
        <sz val="12"/>
        <rFont val="Times New Roman"/>
        <family val="1"/>
        <charset val="204"/>
      </rPr>
      <t>СО</t>
    </r>
  </si>
  <si>
    <t>Кt</t>
  </si>
  <si>
    <t>Исходные данные</t>
  </si>
  <si>
    <t>Уровень расчетной бюджетной обеспеченности</t>
  </si>
  <si>
    <t>Объем дотации, планируемый к распределению поселениям</t>
  </si>
  <si>
    <t>Показатели</t>
  </si>
  <si>
    <t>Фi=Ф1i+Ф2i</t>
  </si>
  <si>
    <t>Наименование поселения</t>
  </si>
  <si>
    <t>Налоговый потенциал поселений на планируемый год</t>
  </si>
  <si>
    <t>Расчет поправочного коэффициента расходных потребностей</t>
  </si>
  <si>
    <t>Поправочный коэффициент расходных потребностей</t>
  </si>
  <si>
    <t>Уровень сокращения отставания расчетной бюджетной обеспеченности поселения от уровня, установленного в качестве критерия выравнивания расчетной бюджетной обеспеченности поселений</t>
  </si>
  <si>
    <t>Установленный десятый критерий выравнивания расчетной бюджетной обеспеченности поселений</t>
  </si>
  <si>
    <t>Принимаемые к расчету средние налоговые доходы бюджетов поселений в расчете на одного жителя</t>
  </si>
  <si>
    <t>рублей/человек</t>
  </si>
  <si>
    <t>Нпi/Нi</t>
  </si>
  <si>
    <t>Выравнивание исходя из численности населения</t>
  </si>
  <si>
    <t xml:space="preserve">Численность населения </t>
  </si>
  <si>
    <t>КРПi</t>
  </si>
  <si>
    <t>Исходные данные, используемые в расчете размера дотации бюджетам поселений на выравнивание бюджетной обеспеченности</t>
  </si>
  <si>
    <t>Выравнивание исходя из необходимости достижения критерия выравнивания расчетной бюджетной обеспеченности поселений</t>
  </si>
  <si>
    <t>БО</t>
  </si>
  <si>
    <t xml:space="preserve">II этап </t>
  </si>
  <si>
    <t>Объем дотации, распределенный на 1 этапе (исходя из численности населения)</t>
  </si>
  <si>
    <t>Объем средств, недостающих для достижения поселением уровня, установленного в качестве критерия выравнивания расчетной бюджетной обеспеченности поселений</t>
  </si>
  <si>
    <r>
      <t xml:space="preserve">Уровень расчетной бюджетной обеспеченности поселения </t>
    </r>
    <r>
      <rPr>
        <b/>
        <u/>
        <sz val="12"/>
        <rFont val="Times New Roman"/>
        <family val="1"/>
        <charset val="204"/>
      </rPr>
      <t xml:space="preserve">ПОСЛЕ </t>
    </r>
    <r>
      <rPr>
        <b/>
        <sz val="12"/>
        <rFont val="Times New Roman"/>
        <family val="1"/>
        <charset val="204"/>
      </rPr>
      <t>выравнивания</t>
    </r>
  </si>
  <si>
    <r>
      <t xml:space="preserve">Уровень расчетной бюджетной обеспеченности </t>
    </r>
    <r>
      <rPr>
        <b/>
        <u/>
        <sz val="12"/>
        <rFont val="Times New Roman"/>
        <family val="1"/>
        <charset val="204"/>
      </rPr>
      <t xml:space="preserve">ДО </t>
    </r>
    <r>
      <rPr>
        <b/>
        <sz val="12"/>
        <rFont val="Times New Roman"/>
        <family val="1"/>
        <charset val="204"/>
      </rPr>
      <t>выравнивания</t>
    </r>
  </si>
  <si>
    <t>Объем дотаций, распределенный 
на 2 этапе</t>
  </si>
  <si>
    <t>Объем дотаций, распределенный на 1 и 2 этапах</t>
  </si>
  <si>
    <t>КitСО</t>
  </si>
  <si>
    <t>по 11 критерию</t>
  </si>
  <si>
    <t>Объем дотаций, распределяемый по 11 критерию</t>
  </si>
  <si>
    <t>Распределено по 11 критерию</t>
  </si>
  <si>
    <t>по 12 критерию</t>
  </si>
  <si>
    <t>по 13 критерию</t>
  </si>
  <si>
    <t>Объем дотаций, распределяемый по 12 критерию</t>
  </si>
  <si>
    <t>Распределено по 12 критерию</t>
  </si>
  <si>
    <t>Объем дотаций, распределяемый по 13 критерию</t>
  </si>
  <si>
    <t>Распределено по 13 критерию</t>
  </si>
  <si>
    <t>по 14 критерию</t>
  </si>
  <si>
    <t>Объем дотаций, распределяемый по 14 критерию</t>
  </si>
  <si>
    <t>Распределено по 14 критерию</t>
  </si>
  <si>
    <t>по 15 критерию</t>
  </si>
  <si>
    <t>Объем дотаций, распределяемый по 15 критерию</t>
  </si>
  <si>
    <t>Распределено по 15 критерию</t>
  </si>
  <si>
    <t>по 16 критерию</t>
  </si>
  <si>
    <t>Объем дотаций, распределяемый по 16 критерию</t>
  </si>
  <si>
    <t>Распределено по 16 критерию</t>
  </si>
  <si>
    <t>по 17 критерию</t>
  </si>
  <si>
    <t>Объем дотаций, распределяемый по 17 критерию</t>
  </si>
  <si>
    <t>Распределено по 17 критерию</t>
  </si>
  <si>
    <t>по 18 критерию</t>
  </si>
  <si>
    <t>Объем дотаций, распределяемый по 18 критерию</t>
  </si>
  <si>
    <t>Распределено по 18 критерию</t>
  </si>
  <si>
    <t>по 19 критерию</t>
  </si>
  <si>
    <t>Объем дотаций, распределяемый по 19 критерию</t>
  </si>
  <si>
    <t>Распределено по 19 критерию</t>
  </si>
  <si>
    <t>по 20 критерию</t>
  </si>
  <si>
    <t>Распределено по 20 критерию</t>
  </si>
  <si>
    <t>Объем дотаций, распределяемый по 20 критерию</t>
  </si>
  <si>
    <t>Установленный 11 критерий выравнивания расчетной бюджетной обеспеченности поселений</t>
  </si>
  <si>
    <t>Установленный 12 критерий выравнивания расчетной бюджетной обеспеченности поселений</t>
  </si>
  <si>
    <t>Установленный 13 критерий выравнивания расчетной бюджетной обеспеченности поселений</t>
  </si>
  <si>
    <t>Установленный 14 критерий выравнивания расчетной бюджетной обеспеченности поселений</t>
  </si>
  <si>
    <t>Установленный 15 критерий выравнивания расчетной бюджетной обеспеченности поселений</t>
  </si>
  <si>
    <t>Установленный 16 критерий выравнивания расчетной бюджетной обеспеченности поселений</t>
  </si>
  <si>
    <t>Установленный 17 критерий выравнивания расчетной бюджетной обеспеченности поселений</t>
  </si>
  <si>
    <t>Установленный 19 критерий выравнивания расчетной бюджетной обеспеченности поселений</t>
  </si>
  <si>
    <t>Установленный 20 критерий выравнивания расчетной бюджетной обеспеченности поселений</t>
  </si>
  <si>
    <t>Установленный 1 критерий выравнивания расчетной бюджетной обеспеченности поселений</t>
  </si>
  <si>
    <t>Установленный 2 критерий выравнивания расчетной бюджетной обеспеченности поселений</t>
  </si>
  <si>
    <t>Установленный 3 критерий выравнивания расчетной бюджетной обеспеченности поселений</t>
  </si>
  <si>
    <t>Установленный 4 критерий выравнивания расчетной бюджетной обеспеченности поселений</t>
  </si>
  <si>
    <t>Установленный 5 критерий выравнивания расчетной бюджетной обеспеченности поселений</t>
  </si>
  <si>
    <t>Установленный 6 критерий выравнивания расчетной бюджетной обеспеченности поселений</t>
  </si>
  <si>
    <t>Установленный 7 критерий выравнивания расчетной бюджетной обеспеченности поселений</t>
  </si>
  <si>
    <t>Установленный 8 критерий выравнивания расчетной бюджетной обеспеченности поселений</t>
  </si>
  <si>
    <t>Установленный 9 критерий выравнивания расчетной бюджетной обеспеченности поселений</t>
  </si>
  <si>
    <t>Установленный 10 критерий выравнивания расчетной бюджетной обеспеченности поселений</t>
  </si>
  <si>
    <t>по 21 критерию</t>
  </si>
  <si>
    <t>Объем дотаций, распределяемый по 21 критерию</t>
  </si>
  <si>
    <t>Установленный 21 критерий выравнивания расчетной бюджетной обеспеченности поселений</t>
  </si>
  <si>
    <t>Распределено по 21 критерию</t>
  </si>
  <si>
    <t>по 22 критерию</t>
  </si>
  <si>
    <t>Объем дотаций, распределяемый по 22 критерию</t>
  </si>
  <si>
    <t>Установленный 22 критерий выравнивания расчетной бюджетной обеспеченности поселений</t>
  </si>
  <si>
    <t>Распределено по 22 критерию</t>
  </si>
  <si>
    <t>по 23 критерию</t>
  </si>
  <si>
    <t>Объем дотаций, распределяемый по 23 критерию</t>
  </si>
  <si>
    <t>Установленный 23 критерий выравнивания расчетной бюджетной обеспеченности поселений</t>
  </si>
  <si>
    <t>Распределено по 23 критерию</t>
  </si>
  <si>
    <t>по 24 критерию</t>
  </si>
  <si>
    <t>Объем дотаций, распределяемый по 24 критерию</t>
  </si>
  <si>
    <t>Установленный 24 критерий выравнивания расчетной бюджетной обеспеченности поселений</t>
  </si>
  <si>
    <t>Распределено по 24 критерию</t>
  </si>
  <si>
    <t>по 25 критерию</t>
  </si>
  <si>
    <t>Объем дотаций, распределяемый по 25 критерию</t>
  </si>
  <si>
    <t>Установленный 25 критерий выравнивания расчетной бюджетной обеспеченности поселений</t>
  </si>
  <si>
    <t>Распределено по 25 критерию</t>
  </si>
  <si>
    <t>по 26 критерию</t>
  </si>
  <si>
    <t>Объем дотаций, распределяемый по 26 критерию</t>
  </si>
  <si>
    <t>Установленный 26 критерий выравнивания расчетной бюджетной обеспеченности поселений</t>
  </si>
  <si>
    <t>Распределено по 26 критерию</t>
  </si>
  <si>
    <t>по 27 критерию</t>
  </si>
  <si>
    <t>Объем дотаций, распределяемый по 27 критерию</t>
  </si>
  <si>
    <t>Установленный 27 критерий выравнивания расчетной бюджетной обеспеченности поселений</t>
  </si>
  <si>
    <t>Распределено по 27 критерию</t>
  </si>
  <si>
    <t>по 28 критерию</t>
  </si>
  <si>
    <t>Объем дотаций, распределяемый по 28 критерию</t>
  </si>
  <si>
    <t>Установленный 28 критерий выравнивания расчетной бюджетной обеспеченности поселений</t>
  </si>
  <si>
    <t>Распределено по 28 критерию</t>
  </si>
  <si>
    <t>по 29 критерию</t>
  </si>
  <si>
    <t>Объем дотаций, распределяемый по 29 критерию</t>
  </si>
  <si>
    <t>Распределено по 29 критерию</t>
  </si>
  <si>
    <t>по 30 критерию</t>
  </si>
  <si>
    <t>Объем дотаций, распределяемый по 30 критерию</t>
  </si>
  <si>
    <t>Установленный 29 критерий выравнивания расчетной бюджетной обеспеченности поселений</t>
  </si>
  <si>
    <t>Установленный 30 критерий выравнивания расчетной бюджетной обеспеченности поселений</t>
  </si>
  <si>
    <t>Распределено по 30 критерию</t>
  </si>
  <si>
    <t>Великорусское сельское поселение Калачинского муниципального района Омской области</t>
  </si>
  <si>
    <t>Воскресенское сельское поселение Калачинского муниципального района Омской области</t>
  </si>
  <si>
    <t>Глуховское сельское поселение Калачинского муниципального района Омской области</t>
  </si>
  <si>
    <t>Ивановское сельское поселение Калачинского муниципального района Омской области</t>
  </si>
  <si>
    <t>Кабаньевское сельское поселение Калачинского муниципального района Омской области</t>
  </si>
  <si>
    <t>Куликовское сельское поселение Калачинского муниципального района Омской области</t>
  </si>
  <si>
    <t>Лагушинское сельское поселение Калачинского муниципального района Омской области</t>
  </si>
  <si>
    <t>Орловское сельское поселение Калачинского муниципального района Омской области</t>
  </si>
  <si>
    <t>Осокинское сельское поселение Калачинского муниципального района Омской области</t>
  </si>
  <si>
    <t>Репинское сельское поселение Калачинского муниципального района Омской области</t>
  </si>
  <si>
    <t>Сорочинское сельское поселение Калачинского муниципального района Омской области</t>
  </si>
  <si>
    <t>Царицынское сельское поселение Калачинского муниципального района Омской области</t>
  </si>
  <si>
    <t>Калачинское городское поселение Калачинского муниципального района Омской области</t>
  </si>
  <si>
    <t>ед</t>
  </si>
  <si>
    <t>га</t>
  </si>
  <si>
    <t>поправочный коэффициент, учитывающий показатель группы поселения по численности(Кi1)</t>
  </si>
  <si>
    <t>поправочный коэффициент, учитывающий показатель площади территории поселения (Кi2)</t>
  </si>
  <si>
    <t xml:space="preserve">      Ki1 = 1 + (Нi /Нmin )</t>
  </si>
  <si>
    <t xml:space="preserve">      Ki2 = 1 + (Si /Smax)</t>
  </si>
  <si>
    <t>Поправочный коэффициент расходных потребностей i-го поселения (КРПi)                                    КРПi = (Кi1+Кi2)/2</t>
  </si>
  <si>
    <t>на 01.01.2024</t>
  </si>
  <si>
    <t>Группы поселений в зависимости от численности населения по состоянию на 01.01.2024 года  (Р1)</t>
  </si>
  <si>
    <t>Площадь территории поселения на 01.01.2024 (Р2)</t>
  </si>
  <si>
    <t>2026  год</t>
  </si>
  <si>
    <t>Расчет размера дотации бюджетам поселений, входящих в состав Калачинского муниципального района Омской области, на выравнивание бюджетной обеспеченности на 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</si>
</sst>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.0"/>
    <numFmt numFmtId="165" formatCode="#,##0.0_ ;[Red]\-#,##0.0\ "/>
    <numFmt numFmtId="166" formatCode="#,##0.0000_ ;[Red]\-#,##0.0000\ "/>
    <numFmt numFmtId="167" formatCode="#,##0.00_ ;[Red]\-#,##0.00\ "/>
    <numFmt numFmtId="168" formatCode="#,##0_ ;[Red]\-#,##0\ "/>
    <numFmt numFmtId="169" formatCode="#,##0.000_ ;[Red]\-#,##0.000\ "/>
    <numFmt numFmtId="170" formatCode="#,##0.0000;[Red]\-#,##0.0000"/>
    <numFmt numFmtId="171" formatCode="#,##0.0000"/>
    <numFmt numFmtId="172" formatCode="0.0000"/>
    <numFmt numFmtId="173" formatCode="0.000"/>
  </numFmts>
  <fonts count="41" x14ac:knownFonts="1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 CYR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2"/>
      <color indexed="12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name val="Times New Roman CYR"/>
      <charset val="204"/>
    </font>
  </fonts>
  <fills count="50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49"/>
      </patternFill>
    </fill>
    <fill>
      <patternFill patternType="solid">
        <fgColor theme="0"/>
        <bgColor indexed="2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23"/>
      </patternFill>
    </fill>
    <fill>
      <patternFill patternType="solid">
        <fgColor theme="0"/>
        <bgColor indexed="35"/>
      </patternFill>
    </fill>
    <fill>
      <patternFill patternType="solid">
        <fgColor theme="0"/>
        <bgColor indexed="27"/>
      </patternFill>
    </fill>
    <fill>
      <patternFill patternType="solid">
        <fgColor theme="2"/>
        <bgColor indexed="64"/>
      </patternFill>
    </fill>
    <fill>
      <patternFill patternType="solid">
        <fgColor theme="2"/>
        <bgColor indexed="27"/>
      </patternFill>
    </fill>
    <fill>
      <patternFill patternType="solid">
        <fgColor rgb="FFFFFFCC"/>
        <bgColor indexed="36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indexed="27"/>
      </patternFill>
    </fill>
    <fill>
      <patternFill patternType="solid">
        <fgColor rgb="FFFFFFCC"/>
        <bgColor indexed="23"/>
      </patternFill>
    </fill>
    <fill>
      <patternFill patternType="solid">
        <fgColor rgb="FFFFFFCC"/>
        <bgColor indexed="29"/>
      </patternFill>
    </fill>
    <fill>
      <patternFill patternType="solid">
        <fgColor theme="5" tint="0.79998168889431442"/>
        <bgColor indexed="29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7"/>
      </patternFill>
    </fill>
    <fill>
      <patternFill patternType="solid">
        <fgColor theme="5" tint="0.79998168889431442"/>
        <bgColor indexed="23"/>
      </patternFill>
    </fill>
    <fill>
      <patternFill patternType="solid">
        <fgColor rgb="FFB7F9A7"/>
        <bgColor indexed="64"/>
      </patternFill>
    </fill>
    <fill>
      <patternFill patternType="solid">
        <fgColor rgb="FFB7F9A7"/>
        <bgColor indexed="27"/>
      </patternFill>
    </fill>
    <fill>
      <patternFill patternType="solid">
        <fgColor rgb="FF66FFFF"/>
        <bgColor indexed="51"/>
      </patternFill>
    </fill>
    <fill>
      <patternFill patternType="solid">
        <fgColor rgb="FF66FFFF"/>
        <bgColor indexed="64"/>
      </patternFill>
    </fill>
    <fill>
      <patternFill patternType="solid">
        <fgColor rgb="FF66FFFF"/>
        <bgColor indexed="27"/>
      </patternFill>
    </fill>
    <fill>
      <patternFill patternType="solid">
        <fgColor rgb="FF66FFFF"/>
        <bgColor indexed="23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CFFCC"/>
        <bgColor indexed="23"/>
      </patternFill>
    </fill>
  </fills>
  <borders count="7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7" borderId="1" applyNumberFormat="0" applyAlignment="0" applyProtection="0"/>
    <xf numFmtId="0" fontId="12" fillId="0" borderId="6" applyNumberFormat="0" applyFill="0" applyAlignment="0" applyProtection="0"/>
    <xf numFmtId="0" fontId="13" fillId="22" borderId="0" applyNumberFormat="0" applyBorder="0" applyAlignment="0" applyProtection="0"/>
    <xf numFmtId="0" fontId="31" fillId="23" borderId="7" applyNumberFormat="0" applyAlignment="0" applyProtection="0"/>
    <xf numFmtId="0" fontId="14" fillId="20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1" fillId="0" borderId="10" applyNumberFormat="0">
      <alignment horizontal="right" vertical="top"/>
    </xf>
    <xf numFmtId="0" fontId="31" fillId="0" borderId="0"/>
  </cellStyleXfs>
  <cellXfs count="263">
    <xf numFmtId="0" fontId="0" fillId="0" borderId="0" xfId="0"/>
    <xf numFmtId="0" fontId="18" fillId="0" borderId="0" xfId="0" applyFont="1" applyFill="1" applyAlignment="1">
      <alignment vertical="center"/>
    </xf>
    <xf numFmtId="0" fontId="18" fillId="0" borderId="0" xfId="0" applyFont="1" applyFill="1" applyAlignment="1">
      <alignment horizontal="center" vertical="center"/>
    </xf>
    <xf numFmtId="164" fontId="19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center" vertical="center"/>
    </xf>
    <xf numFmtId="0" fontId="18" fillId="0" borderId="0" xfId="0" applyFont="1" applyAlignment="1">
      <alignment vertical="top" wrapText="1"/>
    </xf>
    <xf numFmtId="0" fontId="18" fillId="0" borderId="0" xfId="0" applyFont="1" applyAlignment="1">
      <alignment horizontal="right" vertical="top" wrapText="1"/>
    </xf>
    <xf numFmtId="0" fontId="24" fillId="0" borderId="0" xfId="0" applyFont="1" applyAlignment="1">
      <alignment vertical="top" wrapText="1"/>
    </xf>
    <xf numFmtId="0" fontId="18" fillId="0" borderId="0" xfId="0" applyFont="1" applyBorder="1" applyAlignment="1">
      <alignment vertical="top" wrapText="1"/>
    </xf>
    <xf numFmtId="0" fontId="18" fillId="0" borderId="0" xfId="0" applyFont="1" applyFill="1" applyAlignment="1">
      <alignment horizontal="center" vertical="center" wrapText="1"/>
    </xf>
    <xf numFmtId="3" fontId="26" fillId="0" borderId="0" xfId="0" applyNumberFormat="1" applyFont="1" applyFill="1" applyAlignment="1">
      <alignment horizontal="center" vertical="center" wrapText="1"/>
    </xf>
    <xf numFmtId="0" fontId="18" fillId="0" borderId="0" xfId="0" applyFont="1" applyFill="1" applyAlignment="1">
      <alignment vertical="top" wrapText="1"/>
    </xf>
    <xf numFmtId="0" fontId="18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164" fontId="18" fillId="0" borderId="11" xfId="0" applyNumberFormat="1" applyFont="1" applyFill="1" applyBorder="1" applyAlignment="1">
      <alignment horizontal="center" vertical="center"/>
    </xf>
    <xf numFmtId="164" fontId="18" fillId="0" borderId="16" xfId="0" applyNumberFormat="1" applyFont="1" applyFill="1" applyBorder="1" applyAlignment="1">
      <alignment horizontal="center" vertical="center"/>
    </xf>
    <xf numFmtId="166" fontId="18" fillId="0" borderId="0" xfId="0" applyNumberFormat="1" applyFont="1" applyAlignment="1">
      <alignment vertical="top" wrapText="1"/>
    </xf>
    <xf numFmtId="0" fontId="21" fillId="0" borderId="28" xfId="0" applyFont="1" applyFill="1" applyBorder="1" applyAlignment="1">
      <alignment vertical="center"/>
    </xf>
    <xf numFmtId="0" fontId="21" fillId="0" borderId="19" xfId="0" applyFont="1" applyFill="1" applyBorder="1" applyAlignment="1">
      <alignment vertical="center"/>
    </xf>
    <xf numFmtId="3" fontId="21" fillId="0" borderId="19" xfId="0" applyNumberFormat="1" applyFont="1" applyFill="1" applyBorder="1" applyAlignment="1">
      <alignment horizontal="center" vertical="center"/>
    </xf>
    <xf numFmtId="171" fontId="18" fillId="0" borderId="0" xfId="0" applyNumberFormat="1" applyFont="1" applyAlignment="1">
      <alignment vertical="center"/>
    </xf>
    <xf numFmtId="172" fontId="18" fillId="0" borderId="0" xfId="0" applyNumberFormat="1" applyFont="1" applyAlignment="1">
      <alignment vertical="center"/>
    </xf>
    <xf numFmtId="0" fontId="18" fillId="26" borderId="0" xfId="0" applyFont="1" applyFill="1" applyAlignment="1">
      <alignment vertical="center"/>
    </xf>
    <xf numFmtId="0" fontId="18" fillId="26" borderId="0" xfId="0" applyFont="1" applyFill="1" applyAlignment="1">
      <alignment vertical="center" wrapText="1"/>
    </xf>
    <xf numFmtId="0" fontId="32" fillId="26" borderId="0" xfId="0" applyFont="1" applyFill="1" applyAlignment="1">
      <alignment horizontal="center" vertical="center" wrapText="1"/>
    </xf>
    <xf numFmtId="0" fontId="22" fillId="26" borderId="0" xfId="0" applyFont="1" applyFill="1" applyAlignment="1">
      <alignment horizontal="center" vertical="center"/>
    </xf>
    <xf numFmtId="0" fontId="21" fillId="26" borderId="0" xfId="0" applyFont="1" applyFill="1" applyAlignment="1">
      <alignment vertical="center"/>
    </xf>
    <xf numFmtId="0" fontId="18" fillId="27" borderId="11" xfId="0" applyFont="1" applyFill="1" applyBorder="1" applyAlignment="1">
      <alignment horizontal="center" vertical="center"/>
    </xf>
    <xf numFmtId="168" fontId="18" fillId="26" borderId="11" xfId="0" applyNumberFormat="1" applyFont="1" applyFill="1" applyBorder="1" applyAlignment="1">
      <alignment vertical="center"/>
    </xf>
    <xf numFmtId="170" fontId="18" fillId="26" borderId="11" xfId="0" applyNumberFormat="1" applyFont="1" applyFill="1" applyBorder="1" applyAlignment="1">
      <alignment vertical="center"/>
    </xf>
    <xf numFmtId="169" fontId="18" fillId="26" borderId="11" xfId="0" applyNumberFormat="1" applyFont="1" applyFill="1" applyBorder="1" applyAlignment="1">
      <alignment vertical="center"/>
    </xf>
    <xf numFmtId="167" fontId="18" fillId="26" borderId="11" xfId="0" applyNumberFormat="1" applyFont="1" applyFill="1" applyBorder="1" applyAlignment="1">
      <alignment vertical="center"/>
    </xf>
    <xf numFmtId="171" fontId="18" fillId="26" borderId="11" xfId="0" applyNumberFormat="1" applyFont="1" applyFill="1" applyBorder="1" applyAlignment="1">
      <alignment horizontal="right" vertical="center"/>
    </xf>
    <xf numFmtId="0" fontId="21" fillId="25" borderId="0" xfId="0" applyFont="1" applyFill="1" applyBorder="1" applyAlignment="1">
      <alignment vertical="center" wrapText="1"/>
    </xf>
    <xf numFmtId="0" fontId="22" fillId="30" borderId="28" xfId="0" applyFont="1" applyFill="1" applyBorder="1" applyAlignment="1">
      <alignment horizontal="center" vertical="center"/>
    </xf>
    <xf numFmtId="0" fontId="22" fillId="30" borderId="19" xfId="0" applyFont="1" applyFill="1" applyBorder="1" applyAlignment="1">
      <alignment horizontal="center" vertical="center"/>
    </xf>
    <xf numFmtId="0" fontId="22" fillId="30" borderId="20" xfId="0" applyFont="1" applyFill="1" applyBorder="1" applyAlignment="1">
      <alignment horizontal="center" vertical="center"/>
    </xf>
    <xf numFmtId="0" fontId="18" fillId="0" borderId="34" xfId="0" applyFont="1" applyFill="1" applyBorder="1" applyAlignment="1">
      <alignment horizontal="center" vertical="center"/>
    </xf>
    <xf numFmtId="0" fontId="18" fillId="0" borderId="37" xfId="0" applyFont="1" applyFill="1" applyBorder="1" applyAlignment="1">
      <alignment horizontal="center" vertical="center"/>
    </xf>
    <xf numFmtId="3" fontId="33" fillId="0" borderId="28" xfId="0" applyNumberFormat="1" applyFont="1" applyFill="1" applyBorder="1" applyAlignment="1">
      <alignment horizontal="center" vertical="center" wrapText="1"/>
    </xf>
    <xf numFmtId="3" fontId="33" fillId="0" borderId="19" xfId="0" applyNumberFormat="1" applyFont="1" applyFill="1" applyBorder="1" applyAlignment="1">
      <alignment horizontal="center" vertical="center" wrapText="1"/>
    </xf>
    <xf numFmtId="167" fontId="21" fillId="28" borderId="19" xfId="0" applyNumberFormat="1" applyFont="1" applyFill="1" applyBorder="1" applyAlignment="1">
      <alignment horizontal="right" vertical="center"/>
    </xf>
    <xf numFmtId="166" fontId="21" fillId="28" borderId="19" xfId="0" applyNumberFormat="1" applyFont="1" applyFill="1" applyBorder="1" applyAlignment="1">
      <alignment horizontal="center" vertical="center" wrapText="1"/>
    </xf>
    <xf numFmtId="172" fontId="30" fillId="28" borderId="19" xfId="0" applyNumberFormat="1" applyFont="1" applyFill="1" applyBorder="1" applyAlignment="1">
      <alignment horizontal="center" vertical="center"/>
    </xf>
    <xf numFmtId="173" fontId="21" fillId="28" borderId="19" xfId="0" applyNumberFormat="1" applyFont="1" applyFill="1" applyBorder="1" applyAlignment="1">
      <alignment horizontal="center" vertical="center"/>
    </xf>
    <xf numFmtId="0" fontId="18" fillId="27" borderId="18" xfId="0" applyFont="1" applyFill="1" applyBorder="1" applyAlignment="1">
      <alignment horizontal="center" vertical="center"/>
    </xf>
    <xf numFmtId="168" fontId="18" fillId="26" borderId="18" xfId="0" applyNumberFormat="1" applyFont="1" applyFill="1" applyBorder="1" applyAlignment="1">
      <alignment vertical="center"/>
    </xf>
    <xf numFmtId="170" fontId="18" fillId="26" borderId="18" xfId="0" applyNumberFormat="1" applyFont="1" applyFill="1" applyBorder="1" applyAlignment="1">
      <alignment vertical="center"/>
    </xf>
    <xf numFmtId="169" fontId="18" fillId="26" borderId="18" xfId="0" applyNumberFormat="1" applyFont="1" applyFill="1" applyBorder="1" applyAlignment="1">
      <alignment vertical="center"/>
    </xf>
    <xf numFmtId="171" fontId="18" fillId="26" borderId="18" xfId="0" applyNumberFormat="1" applyFont="1" applyFill="1" applyBorder="1" applyAlignment="1">
      <alignment horizontal="right" vertical="center"/>
    </xf>
    <xf numFmtId="167" fontId="18" fillId="26" borderId="18" xfId="0" applyNumberFormat="1" applyFont="1" applyFill="1" applyBorder="1" applyAlignment="1">
      <alignment vertical="center"/>
    </xf>
    <xf numFmtId="0" fontId="32" fillId="30" borderId="44" xfId="0" applyFont="1" applyFill="1" applyBorder="1" applyAlignment="1">
      <alignment horizontal="center" vertical="center" wrapText="1"/>
    </xf>
    <xf numFmtId="0" fontId="22" fillId="30" borderId="42" xfId="0" applyFont="1" applyFill="1" applyBorder="1" applyAlignment="1">
      <alignment horizontal="center" vertical="center"/>
    </xf>
    <xf numFmtId="0" fontId="22" fillId="30" borderId="26" xfId="0" applyFont="1" applyFill="1" applyBorder="1" applyAlignment="1">
      <alignment horizontal="center" vertical="center"/>
    </xf>
    <xf numFmtId="0" fontId="22" fillId="35" borderId="54" xfId="0" applyFont="1" applyFill="1" applyBorder="1" applyAlignment="1">
      <alignment horizontal="center" vertical="center"/>
    </xf>
    <xf numFmtId="0" fontId="22" fillId="30" borderId="55" xfId="0" applyFont="1" applyFill="1" applyBorder="1" applyAlignment="1">
      <alignment horizontal="center" vertical="center"/>
    </xf>
    <xf numFmtId="0" fontId="22" fillId="30" borderId="56" xfId="0" applyFont="1" applyFill="1" applyBorder="1" applyAlignment="1">
      <alignment horizontal="center" vertical="center"/>
    </xf>
    <xf numFmtId="0" fontId="32" fillId="26" borderId="28" xfId="0" applyFont="1" applyFill="1" applyBorder="1" applyAlignment="1">
      <alignment horizontal="center" vertical="center" wrapText="1"/>
    </xf>
    <xf numFmtId="0" fontId="32" fillId="26" borderId="19" xfId="0" applyFont="1" applyFill="1" applyBorder="1" applyAlignment="1">
      <alignment horizontal="center" vertical="center" wrapText="1"/>
    </xf>
    <xf numFmtId="0" fontId="32" fillId="34" borderId="33" xfId="0" applyFont="1" applyFill="1" applyBorder="1" applyAlignment="1">
      <alignment horizontal="center" vertical="center" wrapText="1"/>
    </xf>
    <xf numFmtId="0" fontId="32" fillId="26" borderId="20" xfId="0" applyFont="1" applyFill="1" applyBorder="1" applyAlignment="1">
      <alignment horizontal="center" vertical="center" wrapText="1"/>
    </xf>
    <xf numFmtId="0" fontId="18" fillId="26" borderId="26" xfId="0" applyFont="1" applyFill="1" applyBorder="1" applyAlignment="1">
      <alignment horizontal="center" vertical="center" wrapText="1"/>
    </xf>
    <xf numFmtId="0" fontId="18" fillId="26" borderId="55" xfId="0" applyFont="1" applyFill="1" applyBorder="1" applyAlignment="1">
      <alignment horizontal="center" vertical="center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18" fillId="26" borderId="32" xfId="0" applyFont="1" applyFill="1" applyBorder="1" applyAlignment="1">
      <alignment horizontal="center" vertical="center" textRotation="90" wrapText="1"/>
    </xf>
    <xf numFmtId="0" fontId="21" fillId="37" borderId="21" xfId="0" applyFont="1" applyFill="1" applyBorder="1" applyAlignment="1">
      <alignment horizontal="center" vertical="center" wrapText="1"/>
    </xf>
    <xf numFmtId="0" fontId="18" fillId="34" borderId="54" xfId="0" applyFont="1" applyFill="1" applyBorder="1" applyAlignment="1">
      <alignment horizontal="center" vertical="center" wrapText="1"/>
    </xf>
    <xf numFmtId="0" fontId="18" fillId="26" borderId="42" xfId="0" applyFont="1" applyFill="1" applyBorder="1" applyAlignment="1">
      <alignment horizontal="center" vertical="center" wrapText="1"/>
    </xf>
    <xf numFmtId="0" fontId="18" fillId="26" borderId="56" xfId="0" applyFont="1" applyFill="1" applyBorder="1" applyAlignment="1">
      <alignment horizontal="center" vertical="center" wrapText="1"/>
    </xf>
    <xf numFmtId="171" fontId="18" fillId="26" borderId="37" xfId="0" applyNumberFormat="1" applyFont="1" applyFill="1" applyBorder="1" applyAlignment="1">
      <alignment horizontal="center" vertical="center"/>
    </xf>
    <xf numFmtId="4" fontId="21" fillId="28" borderId="28" xfId="0" applyNumberFormat="1" applyFont="1" applyFill="1" applyBorder="1" applyAlignment="1">
      <alignment horizontal="center" vertical="center"/>
    </xf>
    <xf numFmtId="0" fontId="18" fillId="27" borderId="41" xfId="0" applyFont="1" applyFill="1" applyBorder="1" applyAlignment="1">
      <alignment horizontal="center" vertical="center"/>
    </xf>
    <xf numFmtId="0" fontId="18" fillId="27" borderId="37" xfId="0" applyFont="1" applyFill="1" applyBorder="1" applyAlignment="1">
      <alignment horizontal="center" vertical="center"/>
    </xf>
    <xf numFmtId="167" fontId="18" fillId="34" borderId="50" xfId="0" applyNumberFormat="1" applyFont="1" applyFill="1" applyBorder="1" applyAlignment="1">
      <alignment vertical="center"/>
    </xf>
    <xf numFmtId="167" fontId="21" fillId="36" borderId="33" xfId="0" applyNumberFormat="1" applyFont="1" applyFill="1" applyBorder="1" applyAlignment="1">
      <alignment vertical="center"/>
    </xf>
    <xf numFmtId="167" fontId="18" fillId="26" borderId="43" xfId="0" applyNumberFormat="1" applyFont="1" applyFill="1" applyBorder="1" applyAlignment="1">
      <alignment vertical="center"/>
    </xf>
    <xf numFmtId="167" fontId="18" fillId="26" borderId="12" xfId="0" applyNumberFormat="1" applyFont="1" applyFill="1" applyBorder="1" applyAlignment="1">
      <alignment vertical="center"/>
    </xf>
    <xf numFmtId="167" fontId="21" fillId="28" borderId="20" xfId="0" applyNumberFormat="1" applyFont="1" applyFill="1" applyBorder="1" applyAlignment="1">
      <alignment horizontal="right" vertical="center"/>
    </xf>
    <xf numFmtId="0" fontId="18" fillId="26" borderId="47" xfId="0" applyFont="1" applyFill="1" applyBorder="1" applyAlignment="1">
      <alignment horizontal="center" vertical="center" textRotation="90" wrapText="1"/>
    </xf>
    <xf numFmtId="167" fontId="21" fillId="28" borderId="28" xfId="0" applyNumberFormat="1" applyFont="1" applyFill="1" applyBorder="1" applyAlignment="1">
      <alignment horizontal="right" vertical="center"/>
    </xf>
    <xf numFmtId="0" fontId="32" fillId="0" borderId="50" xfId="0" applyFont="1" applyFill="1" applyBorder="1" applyAlignment="1">
      <alignment horizontal="center" vertical="center"/>
    </xf>
    <xf numFmtId="0" fontId="32" fillId="0" borderId="50" xfId="0" applyFont="1" applyBorder="1" applyAlignment="1">
      <alignment horizontal="center" vertical="center"/>
    </xf>
    <xf numFmtId="0" fontId="38" fillId="42" borderId="33" xfId="0" applyFont="1" applyFill="1" applyBorder="1" applyAlignment="1">
      <alignment horizontal="center" vertical="center" wrapText="1"/>
    </xf>
    <xf numFmtId="0" fontId="38" fillId="42" borderId="54" xfId="0" applyFont="1" applyFill="1" applyBorder="1" applyAlignment="1">
      <alignment horizontal="center" vertical="center" wrapText="1"/>
    </xf>
    <xf numFmtId="0" fontId="38" fillId="42" borderId="15" xfId="0" applyFont="1" applyFill="1" applyBorder="1" applyAlignment="1">
      <alignment horizontal="center" vertical="center" wrapText="1"/>
    </xf>
    <xf numFmtId="3" fontId="33" fillId="0" borderId="48" xfId="0" applyNumberFormat="1" applyFont="1" applyFill="1" applyBorder="1" applyAlignment="1">
      <alignment horizontal="center" vertical="center" wrapText="1"/>
    </xf>
    <xf numFmtId="3" fontId="33" fillId="31" borderId="33" xfId="0" applyNumberFormat="1" applyFont="1" applyFill="1" applyBorder="1" applyAlignment="1">
      <alignment horizontal="center" vertical="center" wrapText="1"/>
    </xf>
    <xf numFmtId="164" fontId="38" fillId="43" borderId="31" xfId="0" applyNumberFormat="1" applyFont="1" applyFill="1" applyBorder="1" applyAlignment="1">
      <alignment horizontal="center" vertical="center" wrapText="1"/>
    </xf>
    <xf numFmtId="0" fontId="18" fillId="0" borderId="23" xfId="0" applyFont="1" applyFill="1" applyBorder="1" applyAlignment="1">
      <alignment horizontal="center" vertical="center" wrapText="1"/>
    </xf>
    <xf numFmtId="0" fontId="18" fillId="42" borderId="50" xfId="0" applyFont="1" applyFill="1" applyBorder="1" applyAlignment="1">
      <alignment vertical="center" wrapText="1"/>
    </xf>
    <xf numFmtId="0" fontId="18" fillId="0" borderId="51" xfId="0" applyFont="1" applyFill="1" applyBorder="1" applyAlignment="1">
      <alignment horizontal="center" vertical="center" wrapText="1"/>
    </xf>
    <xf numFmtId="0" fontId="18" fillId="42" borderId="50" xfId="0" applyFont="1" applyFill="1" applyBorder="1" applyAlignment="1">
      <alignment horizontal="center" vertical="center" wrapText="1"/>
    </xf>
    <xf numFmtId="164" fontId="37" fillId="42" borderId="18" xfId="0" applyNumberFormat="1" applyFont="1" applyFill="1" applyBorder="1" applyAlignment="1">
      <alignment horizontal="center" vertical="center" wrapText="1"/>
    </xf>
    <xf numFmtId="167" fontId="21" fillId="47" borderId="11" xfId="0" applyNumberFormat="1" applyFont="1" applyFill="1" applyBorder="1" applyAlignment="1">
      <alignment vertical="center"/>
    </xf>
    <xf numFmtId="0" fontId="32" fillId="26" borderId="29" xfId="0" applyFont="1" applyFill="1" applyBorder="1" applyAlignment="1">
      <alignment horizontal="center" vertical="center" wrapText="1"/>
    </xf>
    <xf numFmtId="0" fontId="32" fillId="26" borderId="33" xfId="0" applyFont="1" applyFill="1" applyBorder="1" applyAlignment="1">
      <alignment horizontal="center" vertical="center" wrapText="1"/>
    </xf>
    <xf numFmtId="0" fontId="22" fillId="30" borderId="54" xfId="0" applyFont="1" applyFill="1" applyBorder="1" applyAlignment="1">
      <alignment horizontal="center" vertical="center"/>
    </xf>
    <xf numFmtId="0" fontId="29" fillId="28" borderId="33" xfId="0" applyFont="1" applyFill="1" applyBorder="1" applyAlignment="1">
      <alignment wrapText="1"/>
    </xf>
    <xf numFmtId="0" fontId="18" fillId="26" borderId="27" xfId="0" applyFont="1" applyFill="1" applyBorder="1" applyAlignment="1">
      <alignment horizontal="center" vertical="center" wrapText="1"/>
    </xf>
    <xf numFmtId="0" fontId="32" fillId="26" borderId="66" xfId="0" applyFont="1" applyFill="1" applyBorder="1" applyAlignment="1">
      <alignment horizontal="center" vertical="center" wrapText="1"/>
    </xf>
    <xf numFmtId="0" fontId="22" fillId="30" borderId="27" xfId="0" applyFont="1" applyFill="1" applyBorder="1" applyAlignment="1">
      <alignment horizontal="center" vertical="center"/>
    </xf>
    <xf numFmtId="168" fontId="18" fillId="26" borderId="22" xfId="0" applyNumberFormat="1" applyFont="1" applyFill="1" applyBorder="1" applyAlignment="1">
      <alignment vertical="center"/>
    </xf>
    <xf numFmtId="168" fontId="18" fillId="26" borderId="13" xfId="0" applyNumberFormat="1" applyFont="1" applyFill="1" applyBorder="1" applyAlignment="1">
      <alignment vertical="center"/>
    </xf>
    <xf numFmtId="168" fontId="21" fillId="28" borderId="29" xfId="0" applyNumberFormat="1" applyFont="1" applyFill="1" applyBorder="1" applyAlignment="1">
      <alignment horizontal="right" vertical="center"/>
    </xf>
    <xf numFmtId="165" fontId="21" fillId="28" borderId="28" xfId="0" applyNumberFormat="1" applyFont="1" applyFill="1" applyBorder="1" applyAlignment="1">
      <alignment horizontal="right" vertical="center"/>
    </xf>
    <xf numFmtId="0" fontId="18" fillId="26" borderId="53" xfId="0" applyFont="1" applyFill="1" applyBorder="1" applyAlignment="1">
      <alignment horizontal="center" vertical="center" wrapText="1"/>
    </xf>
    <xf numFmtId="0" fontId="32" fillId="26" borderId="48" xfId="0" applyFont="1" applyFill="1" applyBorder="1" applyAlignment="1">
      <alignment horizontal="center" vertical="center" wrapText="1"/>
    </xf>
    <xf numFmtId="0" fontId="22" fillId="30" borderId="53" xfId="0" applyFont="1" applyFill="1" applyBorder="1" applyAlignment="1">
      <alignment horizontal="center" vertical="center"/>
    </xf>
    <xf numFmtId="0" fontId="18" fillId="27" borderId="25" xfId="0" applyFont="1" applyFill="1" applyBorder="1" applyAlignment="1">
      <alignment horizontal="center" vertical="center"/>
    </xf>
    <xf numFmtId="0" fontId="18" fillId="27" borderId="14" xfId="0" applyFont="1" applyFill="1" applyBorder="1" applyAlignment="1">
      <alignment horizontal="center" vertical="center"/>
    </xf>
    <xf numFmtId="0" fontId="18" fillId="39" borderId="54" xfId="0" applyFont="1" applyFill="1" applyBorder="1" applyAlignment="1">
      <alignment horizontal="center" vertical="center" wrapText="1"/>
    </xf>
    <xf numFmtId="0" fontId="32" fillId="39" borderId="33" xfId="0" applyFont="1" applyFill="1" applyBorder="1" applyAlignment="1">
      <alignment horizontal="center" vertical="center" wrapText="1"/>
    </xf>
    <xf numFmtId="0" fontId="22" fillId="40" borderId="54" xfId="0" applyFont="1" applyFill="1" applyBorder="1" applyAlignment="1">
      <alignment horizontal="center" vertical="center"/>
    </xf>
    <xf numFmtId="170" fontId="18" fillId="39" borderId="50" xfId="0" applyNumberFormat="1" applyFont="1" applyFill="1" applyBorder="1" applyAlignment="1">
      <alignment vertical="center"/>
    </xf>
    <xf numFmtId="166" fontId="21" fillId="41" borderId="33" xfId="0" applyNumberFormat="1" applyFont="1" applyFill="1" applyBorder="1" applyAlignment="1">
      <alignment horizontal="center" vertical="center" wrapText="1"/>
    </xf>
    <xf numFmtId="165" fontId="30" fillId="48" borderId="28" xfId="0" applyNumberFormat="1" applyFont="1" applyFill="1" applyBorder="1" applyAlignment="1">
      <alignment horizontal="right" vertical="center"/>
    </xf>
    <xf numFmtId="0" fontId="36" fillId="0" borderId="0" xfId="0" applyFont="1" applyAlignment="1">
      <alignment vertical="center"/>
    </xf>
    <xf numFmtId="0" fontId="40" fillId="0" borderId="64" xfId="0" applyFont="1" applyFill="1" applyBorder="1" applyAlignment="1">
      <alignment wrapText="1"/>
    </xf>
    <xf numFmtId="0" fontId="40" fillId="0" borderId="67" xfId="0" applyFont="1" applyFill="1" applyBorder="1" applyAlignment="1">
      <alignment wrapText="1"/>
    </xf>
    <xf numFmtId="164" fontId="18" fillId="0" borderId="18" xfId="0" applyNumberFormat="1" applyFont="1" applyFill="1" applyBorder="1" applyAlignment="1">
      <alignment horizontal="center" vertical="center"/>
    </xf>
    <xf numFmtId="167" fontId="30" fillId="0" borderId="71" xfId="0" applyNumberFormat="1" applyFont="1" applyFill="1" applyBorder="1" applyAlignment="1">
      <alignment horizontal="right" vertical="center"/>
    </xf>
    <xf numFmtId="0" fontId="21" fillId="25" borderId="62" xfId="0" applyFont="1" applyFill="1" applyBorder="1" applyAlignment="1">
      <alignment horizontal="left" vertical="center" wrapText="1"/>
    </xf>
    <xf numFmtId="167" fontId="18" fillId="26" borderId="25" xfId="0" applyNumberFormat="1" applyFont="1" applyFill="1" applyBorder="1" applyAlignment="1">
      <alignment vertical="center"/>
    </xf>
    <xf numFmtId="167" fontId="18" fillId="26" borderId="14" xfId="0" applyNumberFormat="1" applyFont="1" applyFill="1" applyBorder="1" applyAlignment="1">
      <alignment vertical="center"/>
    </xf>
    <xf numFmtId="167" fontId="18" fillId="0" borderId="0" xfId="0" applyNumberFormat="1" applyFont="1" applyAlignment="1">
      <alignment vertical="center"/>
    </xf>
    <xf numFmtId="0" fontId="18" fillId="26" borderId="31" xfId="0" applyFont="1" applyFill="1" applyBorder="1" applyAlignment="1">
      <alignment horizontal="center" vertical="center" textRotation="90" wrapText="1"/>
    </xf>
    <xf numFmtId="0" fontId="18" fillId="26" borderId="47" xfId="0" applyFont="1" applyFill="1" applyBorder="1" applyAlignment="1">
      <alignment horizontal="center" vertical="center" textRotation="90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18" fillId="26" borderId="47" xfId="0" applyFont="1" applyFill="1" applyBorder="1" applyAlignment="1">
      <alignment horizontal="center" vertical="center" textRotation="90" wrapText="1"/>
    </xf>
    <xf numFmtId="0" fontId="23" fillId="0" borderId="69" xfId="0" applyFont="1" applyFill="1" applyBorder="1" applyAlignment="1">
      <alignment wrapText="1"/>
    </xf>
    <xf numFmtId="0" fontId="40" fillId="0" borderId="14" xfId="0" applyFont="1" applyFill="1" applyBorder="1" applyAlignment="1">
      <alignment wrapText="1"/>
    </xf>
    <xf numFmtId="0" fontId="23" fillId="0" borderId="74" xfId="0" applyFont="1" applyFill="1" applyBorder="1" applyAlignment="1">
      <alignment horizontal="left" vertical="center" wrapText="1"/>
    </xf>
    <xf numFmtId="164" fontId="18" fillId="0" borderId="72" xfId="0" applyNumberFormat="1" applyFont="1" applyFill="1" applyBorder="1" applyAlignment="1">
      <alignment horizontal="center" vertical="center"/>
    </xf>
    <xf numFmtId="164" fontId="18" fillId="0" borderId="70" xfId="0" applyNumberFormat="1" applyFont="1" applyFill="1" applyBorder="1" applyAlignment="1">
      <alignment horizontal="center" vertical="center"/>
    </xf>
    <xf numFmtId="164" fontId="18" fillId="0" borderId="63" xfId="0" applyNumberFormat="1" applyFont="1" applyFill="1" applyBorder="1" applyAlignment="1">
      <alignment horizontal="center" vertical="center"/>
    </xf>
    <xf numFmtId="164" fontId="18" fillId="0" borderId="76" xfId="0" applyNumberFormat="1" applyFont="1" applyFill="1" applyBorder="1" applyAlignment="1">
      <alignment horizontal="center" vertical="center"/>
    </xf>
    <xf numFmtId="164" fontId="18" fillId="0" borderId="77" xfId="0" applyNumberFormat="1" applyFont="1" applyFill="1" applyBorder="1" applyAlignment="1">
      <alignment horizontal="center" vertical="center"/>
    </xf>
    <xf numFmtId="164" fontId="18" fillId="0" borderId="50" xfId="0" applyNumberFormat="1" applyFont="1" applyFill="1" applyBorder="1" applyAlignment="1">
      <alignment horizontal="center" vertical="center"/>
    </xf>
    <xf numFmtId="0" fontId="32" fillId="0" borderId="52" xfId="0" applyFont="1" applyBorder="1" applyAlignment="1">
      <alignment horizontal="center" vertical="center"/>
    </xf>
    <xf numFmtId="172" fontId="34" fillId="31" borderId="78" xfId="0" applyNumberFormat="1" applyFont="1" applyFill="1" applyBorder="1" applyAlignment="1">
      <alignment horizontal="center" vertical="center" wrapText="1"/>
    </xf>
    <xf numFmtId="171" fontId="18" fillId="0" borderId="35" xfId="0" applyNumberFormat="1" applyFont="1" applyBorder="1" applyAlignment="1">
      <alignment horizontal="center"/>
    </xf>
    <xf numFmtId="0" fontId="18" fillId="27" borderId="38" xfId="0" applyFont="1" applyFill="1" applyBorder="1" applyAlignment="1">
      <alignment horizontal="center" vertical="center"/>
    </xf>
    <xf numFmtId="168" fontId="18" fillId="26" borderId="75" xfId="0" applyNumberFormat="1" applyFont="1" applyFill="1" applyBorder="1" applyAlignment="1">
      <alignment vertical="center"/>
    </xf>
    <xf numFmtId="168" fontId="18" fillId="26" borderId="16" xfId="0" applyNumberFormat="1" applyFont="1" applyFill="1" applyBorder="1" applyAlignment="1">
      <alignment vertical="center"/>
    </xf>
    <xf numFmtId="170" fontId="18" fillId="26" borderId="16" xfId="0" applyNumberFormat="1" applyFont="1" applyFill="1" applyBorder="1" applyAlignment="1">
      <alignment vertical="center"/>
    </xf>
    <xf numFmtId="0" fontId="18" fillId="27" borderId="74" xfId="0" applyFont="1" applyFill="1" applyBorder="1" applyAlignment="1">
      <alignment horizontal="center" vertical="center"/>
    </xf>
    <xf numFmtId="170" fontId="18" fillId="39" borderId="73" xfId="0" applyNumberFormat="1" applyFont="1" applyFill="1" applyBorder="1" applyAlignment="1">
      <alignment vertical="center"/>
    </xf>
    <xf numFmtId="167" fontId="18" fillId="34" borderId="73" xfId="0" applyNumberFormat="1" applyFont="1" applyFill="1" applyBorder="1" applyAlignment="1">
      <alignment vertical="center"/>
    </xf>
    <xf numFmtId="171" fontId="18" fillId="26" borderId="38" xfId="0" applyNumberFormat="1" applyFont="1" applyFill="1" applyBorder="1" applyAlignment="1">
      <alignment horizontal="center" vertical="center"/>
    </xf>
    <xf numFmtId="0" fontId="18" fillId="27" borderId="16" xfId="0" applyFont="1" applyFill="1" applyBorder="1" applyAlignment="1">
      <alignment horizontal="center" vertical="center"/>
    </xf>
    <xf numFmtId="169" fontId="18" fillId="26" borderId="16" xfId="0" applyNumberFormat="1" applyFont="1" applyFill="1" applyBorder="1" applyAlignment="1">
      <alignment vertical="center"/>
    </xf>
    <xf numFmtId="167" fontId="18" fillId="26" borderId="17" xfId="0" applyNumberFormat="1" applyFont="1" applyFill="1" applyBorder="1" applyAlignment="1">
      <alignment vertical="center"/>
    </xf>
    <xf numFmtId="171" fontId="18" fillId="26" borderId="16" xfId="0" applyNumberFormat="1" applyFont="1" applyFill="1" applyBorder="1" applyAlignment="1">
      <alignment horizontal="right" vertical="center"/>
    </xf>
    <xf numFmtId="167" fontId="18" fillId="26" borderId="74" xfId="0" applyNumberFormat="1" applyFont="1" applyFill="1" applyBorder="1" applyAlignment="1">
      <alignment vertical="center"/>
    </xf>
    <xf numFmtId="167" fontId="21" fillId="28" borderId="26" xfId="0" applyNumberFormat="1" applyFont="1" applyFill="1" applyBorder="1" applyAlignment="1">
      <alignment horizontal="right" vertical="center"/>
    </xf>
    <xf numFmtId="0" fontId="18" fillId="27" borderId="23" xfId="0" applyFont="1" applyFill="1" applyBorder="1" applyAlignment="1">
      <alignment horizontal="center" vertical="center"/>
    </xf>
    <xf numFmtId="0" fontId="18" fillId="27" borderId="50" xfId="0" applyFont="1" applyFill="1" applyBorder="1" applyAlignment="1">
      <alignment horizontal="center" vertical="center"/>
    </xf>
    <xf numFmtId="0" fontId="18" fillId="27" borderId="73" xfId="0" applyFont="1" applyFill="1" applyBorder="1" applyAlignment="1">
      <alignment horizontal="center" vertical="center"/>
    </xf>
    <xf numFmtId="170" fontId="18" fillId="39" borderId="23" xfId="0" applyNumberFormat="1" applyFont="1" applyFill="1" applyBorder="1" applyAlignment="1">
      <alignment vertical="center"/>
    </xf>
    <xf numFmtId="167" fontId="18" fillId="34" borderId="23" xfId="0" applyNumberFormat="1" applyFont="1" applyFill="1" applyBorder="1" applyAlignment="1">
      <alignment vertical="center"/>
    </xf>
    <xf numFmtId="0" fontId="18" fillId="27" borderId="22" xfId="0" applyFont="1" applyFill="1" applyBorder="1" applyAlignment="1">
      <alignment horizontal="center" vertical="center"/>
    </xf>
    <xf numFmtId="0" fontId="18" fillId="27" borderId="13" xfId="0" applyFont="1" applyFill="1" applyBorder="1" applyAlignment="1">
      <alignment horizontal="center" vertical="center"/>
    </xf>
    <xf numFmtId="0" fontId="18" fillId="27" borderId="75" xfId="0" applyFont="1" applyFill="1" applyBorder="1" applyAlignment="1">
      <alignment horizontal="center" vertical="center"/>
    </xf>
    <xf numFmtId="171" fontId="18" fillId="26" borderId="34" xfId="0" applyNumberFormat="1" applyFont="1" applyFill="1" applyBorder="1" applyAlignment="1">
      <alignment horizontal="center" vertical="center"/>
    </xf>
    <xf numFmtId="0" fontId="18" fillId="27" borderId="35" xfId="0" applyFont="1" applyFill="1" applyBorder="1" applyAlignment="1">
      <alignment horizontal="center" vertical="center"/>
    </xf>
    <xf numFmtId="169" fontId="18" fillId="26" borderId="35" xfId="0" applyNumberFormat="1" applyFont="1" applyFill="1" applyBorder="1" applyAlignment="1">
      <alignment vertical="center"/>
    </xf>
    <xf numFmtId="167" fontId="18" fillId="26" borderId="36" xfId="0" applyNumberFormat="1" applyFont="1" applyFill="1" applyBorder="1" applyAlignment="1">
      <alignment vertical="center"/>
    </xf>
    <xf numFmtId="167" fontId="21" fillId="47" borderId="35" xfId="0" applyNumberFormat="1" applyFont="1" applyFill="1" applyBorder="1" applyAlignment="1">
      <alignment vertical="center"/>
    </xf>
    <xf numFmtId="0" fontId="21" fillId="45" borderId="55" xfId="0" applyFont="1" applyFill="1" applyBorder="1" applyAlignment="1">
      <alignment horizontal="center" vertical="center" wrapText="1"/>
    </xf>
    <xf numFmtId="0" fontId="34" fillId="45" borderId="29" xfId="0" applyFont="1" applyFill="1" applyBorder="1" applyAlignment="1">
      <alignment horizontal="center" vertical="center" wrapText="1"/>
    </xf>
    <xf numFmtId="0" fontId="18" fillId="34" borderId="33" xfId="0" applyFont="1" applyFill="1" applyBorder="1" applyAlignment="1">
      <alignment horizontal="center" vertical="center" wrapText="1"/>
    </xf>
    <xf numFmtId="0" fontId="33" fillId="46" borderId="55" xfId="0" applyFont="1" applyFill="1" applyBorder="1" applyAlignment="1">
      <alignment horizontal="center" vertical="center"/>
    </xf>
    <xf numFmtId="0" fontId="22" fillId="35" borderId="33" xfId="0" applyFont="1" applyFill="1" applyBorder="1" applyAlignment="1">
      <alignment horizontal="center" vertical="center"/>
    </xf>
    <xf numFmtId="0" fontId="18" fillId="27" borderId="34" xfId="0" applyFont="1" applyFill="1" applyBorder="1" applyAlignment="1">
      <alignment horizontal="center" vertical="center"/>
    </xf>
    <xf numFmtId="167" fontId="21" fillId="49" borderId="48" xfId="0" applyNumberFormat="1" applyFont="1" applyFill="1" applyBorder="1" applyAlignment="1">
      <alignment horizontal="center" vertical="center"/>
    </xf>
    <xf numFmtId="0" fontId="22" fillId="30" borderId="24" xfId="0" applyFont="1" applyFill="1" applyBorder="1" applyAlignment="1">
      <alignment horizontal="center" vertical="center"/>
    </xf>
    <xf numFmtId="167" fontId="18" fillId="26" borderId="45" xfId="0" applyNumberFormat="1" applyFont="1" applyFill="1" applyBorder="1" applyAlignment="1">
      <alignment vertical="center"/>
    </xf>
    <xf numFmtId="171" fontId="18" fillId="26" borderId="45" xfId="0" applyNumberFormat="1" applyFont="1" applyFill="1" applyBorder="1" applyAlignment="1">
      <alignment horizontal="right" vertical="center"/>
    </xf>
    <xf numFmtId="171" fontId="18" fillId="26" borderId="24" xfId="0" applyNumberFormat="1" applyFont="1" applyFill="1" applyBorder="1" applyAlignment="1">
      <alignment horizontal="right" vertical="center"/>
    </xf>
    <xf numFmtId="167" fontId="18" fillId="34" borderId="39" xfId="0" applyNumberFormat="1" applyFont="1" applyFill="1" applyBorder="1" applyAlignment="1">
      <alignment vertical="center"/>
    </xf>
    <xf numFmtId="167" fontId="18" fillId="26" borderId="46" xfId="0" applyNumberFormat="1" applyFont="1" applyFill="1" applyBorder="1" applyAlignment="1">
      <alignment vertical="center"/>
    </xf>
    <xf numFmtId="167" fontId="21" fillId="47" borderId="26" xfId="0" applyNumberFormat="1" applyFont="1" applyFill="1" applyBorder="1" applyAlignment="1">
      <alignment vertical="center"/>
    </xf>
    <xf numFmtId="4" fontId="18" fillId="26" borderId="35" xfId="0" applyNumberFormat="1" applyFont="1" applyFill="1" applyBorder="1" applyAlignment="1">
      <alignment vertical="center"/>
    </xf>
    <xf numFmtId="4" fontId="18" fillId="26" borderId="11" xfId="0" applyNumberFormat="1" applyFont="1" applyFill="1" applyBorder="1" applyAlignment="1">
      <alignment vertical="center"/>
    </xf>
    <xf numFmtId="171" fontId="18" fillId="0" borderId="46" xfId="0" applyNumberFormat="1" applyFont="1" applyBorder="1" applyAlignment="1">
      <alignment horizontal="center"/>
    </xf>
    <xf numFmtId="167" fontId="18" fillId="26" borderId="0" xfId="0" applyNumberFormat="1" applyFont="1" applyFill="1" applyAlignment="1">
      <alignment vertical="center"/>
    </xf>
    <xf numFmtId="164" fontId="21" fillId="0" borderId="11" xfId="0" applyNumberFormat="1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18" fillId="0" borderId="57" xfId="0" applyFont="1" applyFill="1" applyBorder="1" applyAlignment="1">
      <alignment horizontal="center" vertical="center" wrapText="1"/>
    </xf>
    <xf numFmtId="0" fontId="18" fillId="0" borderId="58" xfId="0" applyFont="1" applyFill="1" applyBorder="1" applyAlignment="1">
      <alignment horizontal="center" vertical="center" wrapText="1"/>
    </xf>
    <xf numFmtId="0" fontId="18" fillId="0" borderId="59" xfId="0" applyFont="1" applyFill="1" applyBorder="1" applyAlignment="1">
      <alignment horizontal="center" vertical="center" wrapText="1"/>
    </xf>
    <xf numFmtId="0" fontId="18" fillId="0" borderId="29" xfId="0" applyFont="1" applyFill="1" applyBorder="1" applyAlignment="1">
      <alignment horizontal="center" vertical="center" wrapText="1"/>
    </xf>
    <xf numFmtId="0" fontId="18" fillId="0" borderId="19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18" fillId="0" borderId="62" xfId="0" applyFont="1" applyFill="1" applyBorder="1" applyAlignment="1">
      <alignment horizontal="center" vertical="center" wrapText="1"/>
    </xf>
    <xf numFmtId="0" fontId="18" fillId="0" borderId="27" xfId="0" applyFont="1" applyFill="1" applyBorder="1" applyAlignment="1">
      <alignment horizontal="center" vertical="center" wrapText="1"/>
    </xf>
    <xf numFmtId="0" fontId="18" fillId="0" borderId="21" xfId="0" applyFont="1" applyFill="1" applyBorder="1" applyAlignment="1">
      <alignment horizontal="center" vertical="center"/>
    </xf>
    <xf numFmtId="0" fontId="18" fillId="0" borderId="63" xfId="0" applyFont="1" applyFill="1" applyBorder="1" applyAlignment="1">
      <alignment horizontal="center" vertical="center"/>
    </xf>
    <xf numFmtId="0" fontId="18" fillId="0" borderId="54" xfId="0" applyFont="1" applyFill="1" applyBorder="1" applyAlignment="1">
      <alignment horizontal="center" vertical="center"/>
    </xf>
    <xf numFmtId="0" fontId="25" fillId="0" borderId="0" xfId="0" applyFont="1" applyBorder="1" applyAlignment="1">
      <alignment horizontal="center" vertical="top"/>
    </xf>
    <xf numFmtId="0" fontId="32" fillId="0" borderId="23" xfId="0" applyFont="1" applyFill="1" applyBorder="1" applyAlignment="1">
      <alignment horizontal="center" vertical="center" wrapText="1"/>
    </xf>
    <xf numFmtId="0" fontId="32" fillId="0" borderId="51" xfId="0" applyFont="1" applyFill="1" applyBorder="1" applyAlignment="1">
      <alignment horizontal="center" vertical="center" wrapText="1"/>
    </xf>
    <xf numFmtId="0" fontId="33" fillId="32" borderId="23" xfId="0" applyFont="1" applyFill="1" applyBorder="1" applyAlignment="1">
      <alignment horizontal="center" vertical="center" wrapText="1"/>
    </xf>
    <xf numFmtId="0" fontId="33" fillId="32" borderId="51" xfId="0" applyFont="1" applyFill="1" applyBorder="1" applyAlignment="1">
      <alignment horizontal="center" vertical="center" wrapText="1"/>
    </xf>
    <xf numFmtId="0" fontId="35" fillId="0" borderId="0" xfId="0" applyFont="1" applyAlignment="1">
      <alignment horizontal="justify" vertical="center" wrapText="1"/>
    </xf>
    <xf numFmtId="0" fontId="21" fillId="25" borderId="28" xfId="0" applyFont="1" applyFill="1" applyBorder="1" applyAlignment="1">
      <alignment horizontal="center" vertical="center" wrapText="1"/>
    </xf>
    <xf numFmtId="0" fontId="21" fillId="25" borderId="19" xfId="0" applyFont="1" applyFill="1" applyBorder="1" applyAlignment="1">
      <alignment horizontal="center" vertical="center" wrapText="1"/>
    </xf>
    <xf numFmtId="0" fontId="21" fillId="25" borderId="20" xfId="0" applyFont="1" applyFill="1" applyBorder="1" applyAlignment="1">
      <alignment horizontal="center" vertical="center" wrapText="1"/>
    </xf>
    <xf numFmtId="0" fontId="18" fillId="26" borderId="25" xfId="0" applyFont="1" applyFill="1" applyBorder="1" applyAlignment="1">
      <alignment horizontal="center" vertical="center" textRotation="90" wrapText="1"/>
    </xf>
    <xf numFmtId="0" fontId="18" fillId="26" borderId="47" xfId="0" applyFont="1" applyFill="1" applyBorder="1" applyAlignment="1">
      <alignment horizontal="center" vertical="center" textRotation="90" wrapText="1"/>
    </xf>
    <xf numFmtId="0" fontId="21" fillId="25" borderId="60" xfId="0" applyFont="1" applyFill="1" applyBorder="1" applyAlignment="1">
      <alignment horizontal="left" vertical="center" wrapText="1"/>
    </xf>
    <xf numFmtId="0" fontId="21" fillId="25" borderId="45" xfId="0" applyFont="1" applyFill="1" applyBorder="1" applyAlignment="1">
      <alignment horizontal="left" vertical="center" wrapText="1"/>
    </xf>
    <xf numFmtId="0" fontId="21" fillId="25" borderId="61" xfId="0" applyFont="1" applyFill="1" applyBorder="1" applyAlignment="1">
      <alignment horizontal="left" vertical="center" wrapText="1"/>
    </xf>
    <xf numFmtId="0" fontId="21" fillId="38" borderId="23" xfId="0" applyFont="1" applyFill="1" applyBorder="1" applyAlignment="1">
      <alignment horizontal="center" vertical="center" wrapText="1"/>
    </xf>
    <xf numFmtId="0" fontId="21" fillId="38" borderId="50" xfId="0" applyFont="1" applyFill="1" applyBorder="1" applyAlignment="1">
      <alignment horizontal="center" vertical="center" wrapText="1"/>
    </xf>
    <xf numFmtId="0" fontId="21" fillId="38" borderId="51" xfId="0" applyFont="1" applyFill="1" applyBorder="1" applyAlignment="1">
      <alignment horizontal="center" vertical="center" wrapText="1"/>
    </xf>
    <xf numFmtId="0" fontId="21" fillId="24" borderId="34" xfId="0" applyFont="1" applyFill="1" applyBorder="1" applyAlignment="1">
      <alignment horizontal="center" vertical="center" wrapText="1"/>
    </xf>
    <xf numFmtId="0" fontId="21" fillId="24" borderId="35" xfId="0" applyFont="1" applyFill="1" applyBorder="1" applyAlignment="1">
      <alignment horizontal="center" vertical="center" wrapText="1"/>
    </xf>
    <xf numFmtId="0" fontId="21" fillId="24" borderId="36" xfId="0" applyFont="1" applyFill="1" applyBorder="1" applyAlignment="1">
      <alignment horizontal="center" vertical="center" wrapText="1"/>
    </xf>
    <xf numFmtId="0" fontId="21" fillId="24" borderId="46" xfId="0" applyFont="1" applyFill="1" applyBorder="1" applyAlignment="1">
      <alignment horizontal="center" vertical="center" wrapText="1"/>
    </xf>
    <xf numFmtId="0" fontId="21" fillId="33" borderId="39" xfId="0" applyFont="1" applyFill="1" applyBorder="1" applyAlignment="1">
      <alignment horizontal="center" vertical="center" wrapText="1"/>
    </xf>
    <xf numFmtId="0" fontId="21" fillId="33" borderId="40" xfId="0" applyFont="1" applyFill="1" applyBorder="1" applyAlignment="1">
      <alignment horizontal="center" vertical="center" wrapText="1"/>
    </xf>
    <xf numFmtId="0" fontId="21" fillId="33" borderId="42" xfId="0" applyFont="1" applyFill="1" applyBorder="1" applyAlignment="1">
      <alignment horizontal="center" vertical="center" wrapText="1"/>
    </xf>
    <xf numFmtId="0" fontId="18" fillId="26" borderId="18" xfId="0" applyFont="1" applyFill="1" applyBorder="1" applyAlignment="1">
      <alignment horizontal="center" vertical="center" textRotation="90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21" fillId="44" borderId="45" xfId="0" applyFont="1" applyFill="1" applyBorder="1" applyAlignment="1">
      <alignment horizontal="center" vertical="center" wrapText="1"/>
    </xf>
    <xf numFmtId="0" fontId="21" fillId="44" borderId="24" xfId="0" applyFont="1" applyFill="1" applyBorder="1" applyAlignment="1">
      <alignment horizontal="center" vertical="center" wrapText="1"/>
    </xf>
    <xf numFmtId="0" fontId="21" fillId="44" borderId="26" xfId="0" applyFont="1" applyFill="1" applyBorder="1" applyAlignment="1">
      <alignment horizontal="center" vertical="center" wrapText="1"/>
    </xf>
    <xf numFmtId="0" fontId="18" fillId="26" borderId="23" xfId="0" applyFont="1" applyFill="1" applyBorder="1" applyAlignment="1">
      <alignment horizontal="center" vertical="center" wrapText="1"/>
    </xf>
    <xf numFmtId="0" fontId="18" fillId="26" borderId="50" xfId="0" applyFont="1" applyFill="1" applyBorder="1" applyAlignment="1">
      <alignment horizontal="center" vertical="center" wrapText="1"/>
    </xf>
    <xf numFmtId="0" fontId="18" fillId="26" borderId="51" xfId="0" applyFont="1" applyFill="1" applyBorder="1" applyAlignment="1">
      <alignment horizontal="center" vertical="center" wrapText="1"/>
    </xf>
    <xf numFmtId="0" fontId="20" fillId="25" borderId="57" xfId="0" applyFont="1" applyFill="1" applyBorder="1" applyAlignment="1">
      <alignment horizontal="center" vertical="center" wrapText="1"/>
    </xf>
    <xf numFmtId="0" fontId="20" fillId="25" borderId="64" xfId="0" applyFont="1" applyFill="1" applyBorder="1" applyAlignment="1">
      <alignment horizontal="center" vertical="center" wrapText="1"/>
    </xf>
    <xf numFmtId="0" fontId="20" fillId="25" borderId="65" xfId="0" applyFont="1" applyFill="1" applyBorder="1" applyAlignment="1">
      <alignment horizontal="center" vertical="center" wrapText="1"/>
    </xf>
    <xf numFmtId="0" fontId="21" fillId="25" borderId="39" xfId="0" applyFont="1" applyFill="1" applyBorder="1" applyAlignment="1">
      <alignment horizontal="center" vertical="center" wrapText="1"/>
    </xf>
    <xf numFmtId="0" fontId="21" fillId="25" borderId="45" xfId="0" applyFont="1" applyFill="1" applyBorder="1" applyAlignment="1">
      <alignment horizontal="center" vertical="center" wrapText="1"/>
    </xf>
    <xf numFmtId="0" fontId="21" fillId="25" borderId="68" xfId="0" applyFont="1" applyFill="1" applyBorder="1" applyAlignment="1">
      <alignment horizontal="center" vertical="center" wrapText="1"/>
    </xf>
    <xf numFmtId="0" fontId="18" fillId="26" borderId="30" xfId="0" applyFont="1" applyFill="1" applyBorder="1" applyAlignment="1">
      <alignment horizontal="center" vertical="center" wrapText="1"/>
    </xf>
    <xf numFmtId="0" fontId="28" fillId="26" borderId="32" xfId="0" applyFont="1" applyFill="1" applyBorder="1" applyAlignment="1">
      <alignment horizontal="center" vertical="center" wrapText="1"/>
    </xf>
    <xf numFmtId="0" fontId="25" fillId="29" borderId="34" xfId="0" applyFont="1" applyFill="1" applyBorder="1" applyAlignment="1">
      <alignment horizontal="center" vertical="center" wrapText="1"/>
    </xf>
    <xf numFmtId="0" fontId="25" fillId="29" borderId="36" xfId="0" applyFont="1" applyFill="1" applyBorder="1" applyAlignment="1">
      <alignment horizontal="center" vertical="center" wrapText="1"/>
    </xf>
    <xf numFmtId="0" fontId="18" fillId="26" borderId="22" xfId="0" applyFont="1" applyFill="1" applyBorder="1" applyAlignment="1">
      <alignment horizontal="center" vertical="center" textRotation="90" wrapText="1"/>
    </xf>
    <xf numFmtId="0" fontId="18" fillId="26" borderId="49" xfId="0" applyFont="1" applyFill="1" applyBorder="1" applyAlignment="1">
      <alignment horizontal="center" vertical="center" textRotation="90" wrapText="1"/>
    </xf>
    <xf numFmtId="0" fontId="21" fillId="34" borderId="23" xfId="0" applyFont="1" applyFill="1" applyBorder="1" applyAlignment="1">
      <alignment horizontal="center" vertical="center" wrapText="1"/>
    </xf>
    <xf numFmtId="0" fontId="21" fillId="34" borderId="51" xfId="0" applyFont="1" applyFill="1" applyBorder="1" applyAlignment="1">
      <alignment horizontal="center" vertical="center" wrapText="1"/>
    </xf>
    <xf numFmtId="0" fontId="18" fillId="26" borderId="0" xfId="0" applyFont="1" applyFill="1" applyBorder="1" applyAlignment="1">
      <alignment vertical="center" wrapText="1"/>
    </xf>
    <xf numFmtId="0" fontId="32" fillId="26" borderId="0" xfId="0" applyFont="1" applyFill="1" applyBorder="1" applyAlignment="1">
      <alignment horizontal="center" vertical="center" wrapText="1"/>
    </xf>
    <xf numFmtId="0" fontId="22" fillId="26" borderId="0" xfId="0" applyFont="1" applyFill="1" applyBorder="1" applyAlignment="1">
      <alignment horizontal="center" vertical="center"/>
    </xf>
    <xf numFmtId="4" fontId="18" fillId="26" borderId="0" xfId="0" applyNumberFormat="1" applyFont="1" applyFill="1" applyBorder="1" applyAlignment="1">
      <alignment vertical="center"/>
    </xf>
    <xf numFmtId="0" fontId="18" fillId="26" borderId="0" xfId="0" applyFont="1" applyFill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0" fontId="21" fillId="38" borderId="11" xfId="0" applyFont="1" applyFill="1" applyBorder="1" applyAlignment="1">
      <alignment horizontal="center" vertical="center" wrapText="1"/>
    </xf>
    <xf numFmtId="0" fontId="18" fillId="39" borderId="11" xfId="0" applyFont="1" applyFill="1" applyBorder="1" applyAlignment="1">
      <alignment horizontal="center" vertical="center" wrapText="1"/>
    </xf>
    <xf numFmtId="0" fontId="32" fillId="39" borderId="11" xfId="0" applyFont="1" applyFill="1" applyBorder="1" applyAlignment="1">
      <alignment horizontal="center" vertical="center" wrapText="1"/>
    </xf>
    <xf numFmtId="0" fontId="22" fillId="40" borderId="11" xfId="0" applyFont="1" applyFill="1" applyBorder="1" applyAlignment="1">
      <alignment horizontal="center" vertical="center"/>
    </xf>
    <xf numFmtId="172" fontId="18" fillId="39" borderId="11" xfId="0" applyNumberFormat="1" applyFont="1" applyFill="1" applyBorder="1" applyAlignment="1">
      <alignment horizontal="center" vertical="center"/>
    </xf>
    <xf numFmtId="0" fontId="21" fillId="39" borderId="11" xfId="0" applyFont="1" applyFill="1" applyBorder="1" applyAlignment="1">
      <alignment horizontal="center" vertical="center"/>
    </xf>
  </cellXfs>
  <cellStyles count="4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Данные (только для чтения)" xfId="42"/>
    <cellStyle name="Обычный" xfId="0" builtinId="0"/>
    <cellStyle name="Обычный 2" xfId="43"/>
  </cellStyles>
  <dxfs count="0"/>
  <tableStyles count="0" defaultTableStyle="TableStyleMedium9" defaultPivotStyle="PivotStyleLight16"/>
  <colors>
    <mruColors>
      <color rgb="FFCCFFCC"/>
      <color rgb="FFB7F9A7"/>
      <color rgb="FF66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X25"/>
  <sheetViews>
    <sheetView view="pageBreakPreview" zoomScale="75" zoomScaleNormal="90" zoomScaleSheetLayoutView="75" workbookViewId="0">
      <selection activeCell="D24" sqref="D24"/>
    </sheetView>
  </sheetViews>
  <sheetFormatPr defaultRowHeight="15.75" x14ac:dyDescent="0.2"/>
  <cols>
    <col min="1" max="1" width="7.28515625" style="1" customWidth="1"/>
    <col min="2" max="2" width="30.7109375" style="1" customWidth="1"/>
    <col min="3" max="3" width="15.140625" style="2" customWidth="1"/>
    <col min="4" max="4" width="22.42578125" style="2" customWidth="1"/>
    <col min="5" max="5" width="19.42578125" style="3" customWidth="1"/>
    <col min="6" max="6" width="19.42578125" style="1" customWidth="1"/>
    <col min="7" max="232" width="9.140625" style="1"/>
  </cols>
  <sheetData>
    <row r="2" spans="1:6" s="4" customFormat="1" ht="48.75" customHeight="1" x14ac:dyDescent="0.2">
      <c r="A2" s="199" t="s">
        <v>74</v>
      </c>
      <c r="B2" s="199"/>
      <c r="C2" s="199"/>
      <c r="D2" s="199"/>
      <c r="E2" s="199"/>
      <c r="F2" s="199"/>
    </row>
    <row r="3" spans="1:6" s="4" customFormat="1" ht="16.5" x14ac:dyDescent="0.2">
      <c r="B3" s="193"/>
      <c r="C3" s="193"/>
      <c r="D3" s="193"/>
      <c r="E3" s="193"/>
    </row>
    <row r="4" spans="1:6" ht="16.5" thickBot="1" x14ac:dyDescent="0.25">
      <c r="B4" s="5"/>
      <c r="C4" s="6"/>
      <c r="D4" s="6"/>
    </row>
    <row r="5" spans="1:6" ht="20.25" customHeight="1" thickBot="1" x14ac:dyDescent="0.25">
      <c r="A5" s="202" t="s">
        <v>0</v>
      </c>
      <c r="B5" s="194" t="s">
        <v>7</v>
      </c>
      <c r="C5" s="197" t="s">
        <v>57</v>
      </c>
      <c r="D5" s="198"/>
      <c r="E5" s="198"/>
      <c r="F5" s="198"/>
    </row>
    <row r="6" spans="1:6" s="7" customFormat="1" ht="51.75" customHeight="1" x14ac:dyDescent="0.2">
      <c r="A6" s="203"/>
      <c r="B6" s="195"/>
      <c r="C6" s="93" t="s">
        <v>72</v>
      </c>
      <c r="D6" s="93" t="s">
        <v>63</v>
      </c>
      <c r="E6" s="200"/>
      <c r="F6" s="200"/>
    </row>
    <row r="7" spans="1:6" s="7" customFormat="1" ht="19.5" customHeight="1" thickBot="1" x14ac:dyDescent="0.25">
      <c r="A7" s="203"/>
      <c r="B7" s="195"/>
      <c r="C7" s="94" t="s">
        <v>194</v>
      </c>
      <c r="D7" s="96" t="s">
        <v>197</v>
      </c>
      <c r="E7" s="201"/>
      <c r="F7" s="201"/>
    </row>
    <row r="8" spans="1:6" s="7" customFormat="1" ht="123" customHeight="1" thickBot="1" x14ac:dyDescent="0.25">
      <c r="A8" s="203"/>
      <c r="B8" s="196"/>
      <c r="C8" s="95" t="s">
        <v>1</v>
      </c>
      <c r="D8" s="95" t="s">
        <v>2</v>
      </c>
      <c r="E8" s="97" t="s">
        <v>195</v>
      </c>
      <c r="F8" s="97" t="s">
        <v>196</v>
      </c>
    </row>
    <row r="9" spans="1:6" s="8" customFormat="1" thickBot="1" x14ac:dyDescent="0.25">
      <c r="A9" s="204"/>
      <c r="B9" s="59" t="s">
        <v>3</v>
      </c>
      <c r="C9" s="57" t="s">
        <v>5</v>
      </c>
      <c r="D9" s="57" t="s">
        <v>4</v>
      </c>
      <c r="E9" s="92" t="s">
        <v>187</v>
      </c>
      <c r="F9" s="92" t="s">
        <v>188</v>
      </c>
    </row>
    <row r="10" spans="1:6" s="8" customFormat="1" thickBot="1" x14ac:dyDescent="0.25">
      <c r="A10" s="38">
        <v>1</v>
      </c>
      <c r="B10" s="39">
        <v>2</v>
      </c>
      <c r="C10" s="39">
        <v>3</v>
      </c>
      <c r="D10" s="39">
        <v>4</v>
      </c>
      <c r="E10" s="39">
        <v>7</v>
      </c>
      <c r="F10" s="39">
        <v>8</v>
      </c>
    </row>
    <row r="11" spans="1:6" ht="63" x14ac:dyDescent="0.25">
      <c r="A11" s="41">
        <v>1</v>
      </c>
      <c r="B11" s="135" t="s">
        <v>174</v>
      </c>
      <c r="C11" s="138">
        <v>739</v>
      </c>
      <c r="D11" s="138">
        <v>2832885</v>
      </c>
      <c r="E11" s="124">
        <v>5</v>
      </c>
      <c r="F11" s="188">
        <v>29598</v>
      </c>
    </row>
    <row r="12" spans="1:6" ht="63" x14ac:dyDescent="0.25">
      <c r="A12" s="42">
        <v>2</v>
      </c>
      <c r="B12" s="122" t="s">
        <v>175</v>
      </c>
      <c r="C12" s="139">
        <v>2414</v>
      </c>
      <c r="D12" s="139">
        <v>4437228</v>
      </c>
      <c r="E12" s="18">
        <v>1</v>
      </c>
      <c r="F12" s="189">
        <v>38910</v>
      </c>
    </row>
    <row r="13" spans="1:6" ht="63" x14ac:dyDescent="0.25">
      <c r="A13" s="42">
        <v>3</v>
      </c>
      <c r="B13" s="122" t="s">
        <v>176</v>
      </c>
      <c r="C13" s="139">
        <v>1695</v>
      </c>
      <c r="D13" s="139">
        <v>3552267</v>
      </c>
      <c r="E13" s="18">
        <v>1</v>
      </c>
      <c r="F13" s="189">
        <v>26989</v>
      </c>
    </row>
    <row r="14" spans="1:6" ht="68.25" customHeight="1" x14ac:dyDescent="0.25">
      <c r="A14" s="42">
        <v>4</v>
      </c>
      <c r="B14" s="122" t="s">
        <v>177</v>
      </c>
      <c r="C14" s="139">
        <v>1198</v>
      </c>
      <c r="D14" s="139">
        <v>2246032</v>
      </c>
      <c r="E14" s="192">
        <v>3</v>
      </c>
      <c r="F14" s="189">
        <v>12779</v>
      </c>
    </row>
    <row r="15" spans="1:6" ht="63" x14ac:dyDescent="0.25">
      <c r="A15" s="42">
        <v>5</v>
      </c>
      <c r="B15" s="122" t="s">
        <v>178</v>
      </c>
      <c r="C15" s="139">
        <v>631</v>
      </c>
      <c r="D15" s="139">
        <v>2072100</v>
      </c>
      <c r="E15" s="18">
        <v>5</v>
      </c>
      <c r="F15" s="189">
        <v>25226</v>
      </c>
    </row>
    <row r="16" spans="1:6" ht="63" x14ac:dyDescent="0.25">
      <c r="A16" s="42">
        <v>6</v>
      </c>
      <c r="B16" s="122" t="s">
        <v>179</v>
      </c>
      <c r="C16" s="139">
        <v>1963</v>
      </c>
      <c r="D16" s="139">
        <v>4120815</v>
      </c>
      <c r="E16" s="18">
        <v>1</v>
      </c>
      <c r="F16" s="189">
        <v>23544</v>
      </c>
    </row>
    <row r="17" spans="1:6" ht="63" x14ac:dyDescent="0.25">
      <c r="A17" s="42">
        <v>7</v>
      </c>
      <c r="B17" s="122" t="s">
        <v>180</v>
      </c>
      <c r="C17" s="139">
        <v>587</v>
      </c>
      <c r="D17" s="139">
        <v>927591</v>
      </c>
      <c r="E17" s="18">
        <v>5</v>
      </c>
      <c r="F17" s="189">
        <v>12041</v>
      </c>
    </row>
    <row r="18" spans="1:6" ht="63" x14ac:dyDescent="0.25">
      <c r="A18" s="42">
        <v>8</v>
      </c>
      <c r="B18" s="123" t="s">
        <v>181</v>
      </c>
      <c r="C18" s="140">
        <v>619</v>
      </c>
      <c r="D18" s="140">
        <v>972218</v>
      </c>
      <c r="E18" s="18">
        <v>5</v>
      </c>
      <c r="F18" s="189">
        <v>17401</v>
      </c>
    </row>
    <row r="19" spans="1:6" ht="63" customHeight="1" x14ac:dyDescent="0.25">
      <c r="A19" s="42">
        <v>9</v>
      </c>
      <c r="B19" s="123" t="s">
        <v>182</v>
      </c>
      <c r="C19" s="141">
        <v>1741</v>
      </c>
      <c r="D19" s="141">
        <v>2632604</v>
      </c>
      <c r="E19" s="18">
        <v>1</v>
      </c>
      <c r="F19" s="189">
        <v>21170</v>
      </c>
    </row>
    <row r="20" spans="1:6" ht="63" x14ac:dyDescent="0.25">
      <c r="A20" s="42">
        <v>10</v>
      </c>
      <c r="B20" s="123" t="s">
        <v>183</v>
      </c>
      <c r="C20" s="142">
        <v>1215</v>
      </c>
      <c r="D20" s="142">
        <v>3903252</v>
      </c>
      <c r="E20" s="19">
        <v>2</v>
      </c>
      <c r="F20" s="189">
        <v>27251</v>
      </c>
    </row>
    <row r="21" spans="1:6" ht="63" x14ac:dyDescent="0.25">
      <c r="A21" s="42">
        <v>11</v>
      </c>
      <c r="B21" s="123" t="s">
        <v>184</v>
      </c>
      <c r="C21" s="143">
        <v>1610</v>
      </c>
      <c r="D21" s="143">
        <v>2928578</v>
      </c>
      <c r="E21" s="18">
        <v>1</v>
      </c>
      <c r="F21" s="189">
        <v>36450</v>
      </c>
    </row>
    <row r="22" spans="1:6" ht="63" x14ac:dyDescent="0.25">
      <c r="A22" s="42">
        <v>12</v>
      </c>
      <c r="B22" s="136" t="s">
        <v>185</v>
      </c>
      <c r="C22" s="143">
        <v>565</v>
      </c>
      <c r="D22" s="143">
        <v>922954</v>
      </c>
      <c r="E22" s="18">
        <v>5</v>
      </c>
      <c r="F22" s="189">
        <v>10152</v>
      </c>
    </row>
    <row r="23" spans="1:6" ht="63.75" thickBot="1" x14ac:dyDescent="0.3">
      <c r="A23" s="42">
        <v>13</v>
      </c>
      <c r="B23" s="136" t="s">
        <v>186</v>
      </c>
      <c r="C23" s="143">
        <v>20509</v>
      </c>
      <c r="D23" s="143">
        <v>70674203</v>
      </c>
      <c r="E23" s="18">
        <v>1</v>
      </c>
      <c r="F23" s="189">
        <v>2513</v>
      </c>
    </row>
    <row r="24" spans="1:6" ht="16.5" thickBot="1" x14ac:dyDescent="0.25">
      <c r="A24" s="21"/>
      <c r="B24" s="137"/>
      <c r="C24" s="23">
        <f>SUM(C11:C23)</f>
        <v>35486</v>
      </c>
      <c r="D24" s="23">
        <f>SUM(D11:D23)</f>
        <v>102222727</v>
      </c>
      <c r="E24" s="23" t="s">
        <v>8</v>
      </c>
      <c r="F24" s="23">
        <f>SUM(F11:F23)</f>
        <v>284024</v>
      </c>
    </row>
    <row r="25" spans="1:6" ht="16.5" thickBot="1" x14ac:dyDescent="0.25">
      <c r="B25" s="22" t="s">
        <v>6</v>
      </c>
    </row>
  </sheetData>
  <sheetProtection selectLockedCells="1" selectUnlockedCells="1"/>
  <mergeCells count="6">
    <mergeCell ref="B3:E3"/>
    <mergeCell ref="B5:B8"/>
    <mergeCell ref="C5:F5"/>
    <mergeCell ref="A2:F2"/>
    <mergeCell ref="E6:F7"/>
    <mergeCell ref="A5:A9"/>
  </mergeCells>
  <printOptions horizontalCentered="1"/>
  <pageMargins left="0" right="0" top="0.39370078740157483" bottom="0.39370078740157483" header="0.23622047244094491" footer="0.51181102362204722"/>
  <pageSetup paperSize="9" scale="57" firstPageNumber="0" fitToWidth="0" pageOrder="overThenDown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1"/>
  <sheetViews>
    <sheetView topLeftCell="A4" zoomScale="110" zoomScaleNormal="110" workbookViewId="0">
      <selection activeCell="D5" sqref="D5"/>
    </sheetView>
  </sheetViews>
  <sheetFormatPr defaultRowHeight="15.75" x14ac:dyDescent="0.2"/>
  <cols>
    <col min="1" max="1" width="6.140625" style="9" customWidth="1"/>
    <col min="2" max="2" width="37.5703125" style="9" customWidth="1"/>
    <col min="3" max="4" width="16.85546875" style="9" customWidth="1"/>
    <col min="5" max="5" width="18.28515625" style="9" customWidth="1"/>
    <col min="6" max="6" width="13.42578125" style="9" bestFit="1" customWidth="1"/>
    <col min="7" max="16384" width="9.140625" style="9"/>
  </cols>
  <sheetData>
    <row r="1" spans="1:6" x14ac:dyDescent="0.2">
      <c r="C1" s="10"/>
      <c r="D1" s="10"/>
    </row>
    <row r="2" spans="1:6" s="11" customFormat="1" ht="18.75" x14ac:dyDescent="0.2">
      <c r="A2" s="205" t="s">
        <v>64</v>
      </c>
      <c r="B2" s="205"/>
      <c r="C2" s="205"/>
      <c r="D2" s="205"/>
      <c r="E2" s="205"/>
    </row>
    <row r="3" spans="1:6" ht="16.5" thickBot="1" x14ac:dyDescent="0.25">
      <c r="B3" s="12"/>
    </row>
    <row r="4" spans="1:6" s="7" customFormat="1" ht="99" customHeight="1" thickBot="1" x14ac:dyDescent="0.25">
      <c r="A4" s="206" t="s">
        <v>0</v>
      </c>
      <c r="B4" s="206" t="s">
        <v>62</v>
      </c>
      <c r="C4" s="87" t="s">
        <v>189</v>
      </c>
      <c r="D4" s="89" t="s">
        <v>190</v>
      </c>
      <c r="E4" s="208" t="s">
        <v>193</v>
      </c>
    </row>
    <row r="5" spans="1:6" s="13" customFormat="1" ht="45.75" customHeight="1" thickBot="1" x14ac:dyDescent="0.25">
      <c r="A5" s="207"/>
      <c r="B5" s="207"/>
      <c r="C5" s="88" t="s">
        <v>191</v>
      </c>
      <c r="D5" s="88" t="s">
        <v>192</v>
      </c>
      <c r="E5" s="209"/>
    </row>
    <row r="6" spans="1:6" s="14" customFormat="1" thickBot="1" x14ac:dyDescent="0.25">
      <c r="A6" s="43">
        <v>1</v>
      </c>
      <c r="B6" s="44">
        <f t="shared" ref="B6" si="0">A6+1</f>
        <v>2</v>
      </c>
      <c r="C6" s="44">
        <v>3</v>
      </c>
      <c r="D6" s="90">
        <v>4</v>
      </c>
      <c r="E6" s="91">
        <v>5</v>
      </c>
    </row>
    <row r="7" spans="1:6" ht="48" thickBot="1" x14ac:dyDescent="0.3">
      <c r="A7" s="144">
        <v>1</v>
      </c>
      <c r="B7" s="135" t="s">
        <v>174</v>
      </c>
      <c r="C7" s="146">
        <f>1+('Исходные данные'!E11/'Исходные данные'!E23)</f>
        <v>6</v>
      </c>
      <c r="D7" s="190">
        <f>1+('Исходные данные'!F11/'Исходные данные'!$F$12)</f>
        <v>1.7606784888203548</v>
      </c>
      <c r="E7" s="145">
        <f>(C7+D7)/2</f>
        <v>3.8803392444101776</v>
      </c>
      <c r="F7" s="20"/>
    </row>
    <row r="8" spans="1:6" s="15" customFormat="1" ht="48" thickBot="1" x14ac:dyDescent="0.3">
      <c r="A8" s="85">
        <v>2</v>
      </c>
      <c r="B8" s="122" t="s">
        <v>175</v>
      </c>
      <c r="C8" s="146">
        <f>1+('Исходные данные'!E12/'Исходные данные'!E23)</f>
        <v>2</v>
      </c>
      <c r="D8" s="190">
        <f>1+('Исходные данные'!F12/'Исходные данные'!$F$12)</f>
        <v>2</v>
      </c>
      <c r="E8" s="145">
        <f>(C8+D8)/2</f>
        <v>2</v>
      </c>
      <c r="F8" s="20"/>
    </row>
    <row r="9" spans="1:6" s="15" customFormat="1" ht="48" thickBot="1" x14ac:dyDescent="0.3">
      <c r="A9" s="86">
        <v>3</v>
      </c>
      <c r="B9" s="122" t="s">
        <v>176</v>
      </c>
      <c r="C9" s="146">
        <f>1+('Исходные данные'!E13/'Исходные данные'!E23)</f>
        <v>2</v>
      </c>
      <c r="D9" s="190">
        <f>1+('Исходные данные'!F13/'Исходные данные'!$F$12)</f>
        <v>1.6936263171421229</v>
      </c>
      <c r="E9" s="145">
        <f t="shared" ref="E9:E19" si="1">(C9+D9)/2</f>
        <v>1.8468131585710614</v>
      </c>
      <c r="F9" s="20"/>
    </row>
    <row r="10" spans="1:6" s="15" customFormat="1" ht="48" thickBot="1" x14ac:dyDescent="0.3">
      <c r="A10" s="85">
        <v>4</v>
      </c>
      <c r="B10" s="122" t="s">
        <v>177</v>
      </c>
      <c r="C10" s="146">
        <f>1+('Исходные данные'!E14/'Исходные данные'!E23)</f>
        <v>4</v>
      </c>
      <c r="D10" s="190">
        <f>1+('Исходные данные'!F14/'Исходные данные'!$F$12)</f>
        <v>1.3284245695194037</v>
      </c>
      <c r="E10" s="145">
        <f t="shared" si="1"/>
        <v>2.6642122847597021</v>
      </c>
      <c r="F10" s="20"/>
    </row>
    <row r="11" spans="1:6" s="15" customFormat="1" ht="48" thickBot="1" x14ac:dyDescent="0.3">
      <c r="A11" s="86">
        <v>5</v>
      </c>
      <c r="B11" s="122" t="s">
        <v>178</v>
      </c>
      <c r="C11" s="146">
        <f>1+('Исходные данные'!E15/'Исходные данные'!E23)</f>
        <v>6</v>
      </c>
      <c r="D11" s="190">
        <f>1+('Исходные данные'!F15/'Исходные данные'!$F$12)</f>
        <v>1.6483166281161656</v>
      </c>
      <c r="E11" s="145">
        <f t="shared" si="1"/>
        <v>3.8241583140580828</v>
      </c>
      <c r="F11" s="20"/>
    </row>
    <row r="12" spans="1:6" s="15" customFormat="1" ht="48" thickBot="1" x14ac:dyDescent="0.3">
      <c r="A12" s="85">
        <v>6</v>
      </c>
      <c r="B12" s="122" t="s">
        <v>179</v>
      </c>
      <c r="C12" s="146">
        <f>1+('Исходные данные'!E16/'Исходные данные'!E23)</f>
        <v>2</v>
      </c>
      <c r="D12" s="190">
        <f>1+('Исходные данные'!F16/'Исходные данные'!$F$12)</f>
        <v>1.60508866615266</v>
      </c>
      <c r="E12" s="145">
        <f t="shared" si="1"/>
        <v>1.80254433307633</v>
      </c>
      <c r="F12" s="20"/>
    </row>
    <row r="13" spans="1:6" s="15" customFormat="1" ht="48" thickBot="1" x14ac:dyDescent="0.3">
      <c r="A13" s="86">
        <v>7</v>
      </c>
      <c r="B13" s="122" t="s">
        <v>180</v>
      </c>
      <c r="C13" s="146">
        <f>1+('Исходные данные'!E17/'Исходные данные'!E23)</f>
        <v>6</v>
      </c>
      <c r="D13" s="190">
        <f>1+('Исходные данные'!F17/'Исходные данные'!$F$12)</f>
        <v>1.3094577229503983</v>
      </c>
      <c r="E13" s="145">
        <f t="shared" si="1"/>
        <v>3.6547288614751992</v>
      </c>
      <c r="F13" s="20"/>
    </row>
    <row r="14" spans="1:6" s="15" customFormat="1" ht="48" thickBot="1" x14ac:dyDescent="0.3">
      <c r="A14" s="85">
        <v>8</v>
      </c>
      <c r="B14" s="123" t="s">
        <v>181</v>
      </c>
      <c r="C14" s="146">
        <f>1+('Исходные данные'!E18/'Исходные данные'!E23)</f>
        <v>6</v>
      </c>
      <c r="D14" s="190">
        <f>1+('Исходные данные'!F18/'Исходные данные'!$F$12)</f>
        <v>1.4472115137496788</v>
      </c>
      <c r="E14" s="145">
        <f t="shared" si="1"/>
        <v>3.7236057568748393</v>
      </c>
      <c r="F14" s="20"/>
    </row>
    <row r="15" spans="1:6" s="15" customFormat="1" ht="48" thickBot="1" x14ac:dyDescent="0.3">
      <c r="A15" s="86">
        <v>9</v>
      </c>
      <c r="B15" s="123" t="s">
        <v>182</v>
      </c>
      <c r="C15" s="146">
        <f>1+('Исходные данные'!E19/'Исходные данные'!E23)</f>
        <v>2</v>
      </c>
      <c r="D15" s="190">
        <f>1+('Исходные данные'!F19/'Исходные данные'!$F$12)</f>
        <v>1.5440760729889489</v>
      </c>
      <c r="E15" s="145">
        <f t="shared" si="1"/>
        <v>1.7720380364944743</v>
      </c>
      <c r="F15" s="20"/>
    </row>
    <row r="16" spans="1:6" s="15" customFormat="1" ht="48" thickBot="1" x14ac:dyDescent="0.3">
      <c r="A16" s="85">
        <v>10</v>
      </c>
      <c r="B16" s="123" t="s">
        <v>183</v>
      </c>
      <c r="C16" s="146">
        <f>1+('Исходные данные'!E20/'Исходные данные'!E23)</f>
        <v>3</v>
      </c>
      <c r="D16" s="190">
        <f>1+('Исходные данные'!F20/'Исходные данные'!$F$12)</f>
        <v>1.7003598046774608</v>
      </c>
      <c r="E16" s="145">
        <f t="shared" si="1"/>
        <v>2.3501799023387306</v>
      </c>
      <c r="F16" s="20"/>
    </row>
    <row r="17" spans="1:6" s="15" customFormat="1" ht="48" thickBot="1" x14ac:dyDescent="0.3">
      <c r="A17" s="86">
        <v>11</v>
      </c>
      <c r="B17" s="123" t="s">
        <v>184</v>
      </c>
      <c r="C17" s="146">
        <f>1+('Исходные данные'!E21/'Исходные данные'!E23)</f>
        <v>2</v>
      </c>
      <c r="D17" s="190">
        <f>1+('Исходные данные'!F21/'Исходные данные'!$F$12)</f>
        <v>1.9367771781033154</v>
      </c>
      <c r="E17" s="145">
        <f t="shared" si="1"/>
        <v>1.9683885890516577</v>
      </c>
      <c r="F17" s="20"/>
    </row>
    <row r="18" spans="1:6" ht="48" thickBot="1" x14ac:dyDescent="0.3">
      <c r="A18" s="85">
        <v>12</v>
      </c>
      <c r="B18" s="136" t="s">
        <v>185</v>
      </c>
      <c r="C18" s="146">
        <f>1+('Исходные данные'!E22/'Исходные данные'!E23)</f>
        <v>6</v>
      </c>
      <c r="D18" s="190">
        <f>1+('Исходные данные'!F22/'Исходные данные'!$F$12)</f>
        <v>1.2609097918272938</v>
      </c>
      <c r="E18" s="145">
        <f t="shared" si="1"/>
        <v>3.6304548959136467</v>
      </c>
    </row>
    <row r="19" spans="1:6" ht="47.25" x14ac:dyDescent="0.25">
      <c r="A19" s="86">
        <v>13</v>
      </c>
      <c r="B19" s="136" t="s">
        <v>186</v>
      </c>
      <c r="C19" s="146">
        <f>1+('Исходные данные'!E23/'Исходные данные'!E23)</f>
        <v>2</v>
      </c>
      <c r="D19" s="190">
        <f>1+('Исходные данные'!F23/'Исходные данные'!$F$12)</f>
        <v>1.0645849396042149</v>
      </c>
      <c r="E19" s="145">
        <f t="shared" si="1"/>
        <v>1.5322924698021074</v>
      </c>
    </row>
    <row r="21" spans="1:6" ht="130.5" customHeight="1" x14ac:dyDescent="0.2">
      <c r="A21" s="210"/>
      <c r="B21" s="210"/>
      <c r="C21" s="210"/>
      <c r="D21" s="210"/>
      <c r="E21" s="210"/>
    </row>
  </sheetData>
  <sheetProtection selectLockedCells="1" selectUnlockedCells="1"/>
  <mergeCells count="5">
    <mergeCell ref="A2:E2"/>
    <mergeCell ref="A4:A5"/>
    <mergeCell ref="B4:B5"/>
    <mergeCell ref="E4:E5"/>
    <mergeCell ref="A21:E21"/>
  </mergeCells>
  <pageMargins left="0.24" right="0.28999999999999998" top="0.52" bottom="0.74803149606299213" header="0.27" footer="0.51181102362204722"/>
  <pageSetup paperSize="9" scale="78" firstPageNumber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O27"/>
  <sheetViews>
    <sheetView tabSelected="1" zoomScale="60" zoomScaleNormal="60" workbookViewId="0">
      <pane xSplit="1" topLeftCell="BH1" activePane="topRight" state="frozen"/>
      <selection pane="topRight" activeCell="BW14" sqref="BW14"/>
    </sheetView>
  </sheetViews>
  <sheetFormatPr defaultColWidth="15.28515625" defaultRowHeight="15.75" x14ac:dyDescent="0.2"/>
  <cols>
    <col min="1" max="1" width="34.7109375" style="16" customWidth="1"/>
    <col min="2" max="2" width="19.85546875" style="16" customWidth="1"/>
    <col min="3" max="3" width="12.140625" style="16" customWidth="1"/>
    <col min="4" max="4" width="17" style="16" customWidth="1"/>
    <col min="5" max="5" width="12.85546875" style="16" customWidth="1"/>
    <col min="6" max="6" width="17.42578125" style="16" customWidth="1"/>
    <col min="7" max="7" width="12.5703125" style="16" customWidth="1"/>
    <col min="8" max="8" width="18.42578125" style="16" customWidth="1"/>
    <col min="9" max="10" width="15.42578125" style="16" customWidth="1"/>
    <col min="11" max="11" width="18" style="16" customWidth="1"/>
    <col min="12" max="12" width="19.28515625" style="16" customWidth="1"/>
    <col min="13" max="13" width="14.42578125" style="16" customWidth="1"/>
    <col min="14" max="14" width="13.28515625" style="16" customWidth="1"/>
    <col min="15" max="15" width="16" style="16" customWidth="1"/>
    <col min="16" max="16" width="16.85546875" style="16" customWidth="1"/>
    <col min="17" max="17" width="16.7109375" style="16" customWidth="1"/>
    <col min="18" max="18" width="16.85546875" style="16" customWidth="1"/>
    <col min="19" max="19" width="13.7109375" style="16" customWidth="1"/>
    <col min="20" max="20" width="11.5703125" style="16" customWidth="1"/>
    <col min="21" max="21" width="15" style="16" customWidth="1"/>
    <col min="22" max="22" width="16.5703125" style="16" customWidth="1"/>
    <col min="23" max="23" width="16.28515625" style="16" customWidth="1"/>
    <col min="24" max="24" width="22.140625" style="16" customWidth="1"/>
    <col min="25" max="25" width="14.85546875" style="16" customWidth="1"/>
    <col min="26" max="26" width="10.5703125" style="16" customWidth="1"/>
    <col min="27" max="27" width="14.85546875" style="16" customWidth="1"/>
    <col min="28" max="28" width="15.85546875" style="16" customWidth="1"/>
    <col min="29" max="29" width="16.28515625" style="16" customWidth="1"/>
    <col min="30" max="30" width="15.85546875" style="16" customWidth="1"/>
    <col min="31" max="31" width="13.140625" style="16" customWidth="1"/>
    <col min="32" max="32" width="11.28515625" style="16" customWidth="1"/>
    <col min="33" max="33" width="14.85546875" style="16" customWidth="1"/>
    <col min="34" max="34" width="18.85546875" style="16" customWidth="1"/>
    <col min="35" max="35" width="16.28515625" style="16" customWidth="1"/>
    <col min="36" max="36" width="20.28515625" style="16" customWidth="1"/>
    <col min="37" max="37" width="13.42578125" style="16" customWidth="1"/>
    <col min="38" max="39" width="11.140625" style="16" customWidth="1"/>
    <col min="40" max="40" width="16" style="16" customWidth="1"/>
    <col min="41" max="41" width="15.7109375" style="16" customWidth="1"/>
    <col min="42" max="42" width="18.5703125" style="16" customWidth="1"/>
    <col min="43" max="43" width="12.5703125" style="16" customWidth="1"/>
    <col min="44" max="44" width="10.28515625" style="16" customWidth="1"/>
    <col min="45" max="45" width="13.7109375" style="16" customWidth="1"/>
    <col min="46" max="46" width="16.5703125" style="16" customWidth="1"/>
    <col min="47" max="47" width="16.42578125" style="16" customWidth="1"/>
    <col min="48" max="48" width="19.5703125" style="16" customWidth="1"/>
    <col min="49" max="49" width="12.5703125" style="16" customWidth="1"/>
    <col min="50" max="50" width="9.42578125" style="16" customWidth="1"/>
    <col min="51" max="51" width="14.28515625" style="16" customWidth="1"/>
    <col min="52" max="52" width="16.85546875" style="16" customWidth="1"/>
    <col min="53" max="53" width="15.28515625" style="16" customWidth="1"/>
    <col min="54" max="54" width="20.42578125" style="16" customWidth="1"/>
    <col min="55" max="55" width="11.5703125" style="16" customWidth="1"/>
    <col min="56" max="56" width="10.42578125" style="16" customWidth="1"/>
    <col min="57" max="57" width="11.85546875" style="16" customWidth="1"/>
    <col min="58" max="58" width="16.42578125" style="16" customWidth="1"/>
    <col min="59" max="59" width="15" style="16" customWidth="1"/>
    <col min="60" max="60" width="18.5703125" style="16" customWidth="1"/>
    <col min="61" max="61" width="11.28515625" style="16" customWidth="1"/>
    <col min="62" max="62" width="12.28515625" style="16" customWidth="1"/>
    <col min="63" max="63" width="13.5703125" style="16" customWidth="1"/>
    <col min="64" max="64" width="16.140625" style="16" customWidth="1"/>
    <col min="65" max="65" width="16.42578125" style="16" customWidth="1"/>
    <col min="66" max="66" width="18.140625" style="16" customWidth="1"/>
    <col min="67" max="67" width="12" style="16" customWidth="1"/>
    <col min="68" max="68" width="12.5703125" style="16" customWidth="1"/>
    <col min="69" max="69" width="15.42578125" style="16" customWidth="1"/>
    <col min="70" max="70" width="16.85546875" style="16" customWidth="1"/>
    <col min="71" max="71" width="15" style="16" customWidth="1"/>
    <col min="72" max="72" width="18.140625" style="16" customWidth="1"/>
    <col min="73" max="73" width="12" style="16" customWidth="1"/>
    <col min="74" max="74" width="12.5703125" style="16" customWidth="1"/>
    <col min="75" max="75" width="15.42578125" style="16" customWidth="1"/>
    <col min="76" max="76" width="16.85546875" style="16" customWidth="1"/>
    <col min="77" max="77" width="15" style="16" customWidth="1"/>
    <col min="78" max="78" width="19.7109375" style="16" hidden="1" customWidth="1"/>
    <col min="79" max="79" width="15.85546875" style="16" hidden="1" customWidth="1"/>
    <col min="80" max="81" width="15" style="16" hidden="1" customWidth="1"/>
    <col min="82" max="82" width="16.5703125" style="16" hidden="1" customWidth="1"/>
    <col min="83" max="83" width="15" style="16" hidden="1" customWidth="1"/>
    <col min="84" max="84" width="16.5703125" style="16" hidden="1" customWidth="1"/>
    <col min="85" max="87" width="15" style="16" hidden="1" customWidth="1"/>
    <col min="88" max="88" width="16.5703125" style="16" hidden="1" customWidth="1"/>
    <col min="89" max="89" width="15" style="16" hidden="1" customWidth="1"/>
    <col min="90" max="90" width="16.28515625" style="16" hidden="1" customWidth="1"/>
    <col min="91" max="93" width="15" style="16" hidden="1" customWidth="1"/>
    <col min="94" max="94" width="16.28515625" style="16" hidden="1" customWidth="1"/>
    <col min="95" max="95" width="15" style="16" hidden="1" customWidth="1"/>
    <col min="96" max="96" width="16.5703125" style="16" hidden="1" customWidth="1"/>
    <col min="97" max="99" width="15" style="16" hidden="1" customWidth="1"/>
    <col min="100" max="100" width="16" style="16" hidden="1" customWidth="1"/>
    <col min="101" max="101" width="15" style="16" hidden="1" customWidth="1"/>
    <col min="102" max="102" width="16" style="16" hidden="1" customWidth="1"/>
    <col min="103" max="105" width="15" style="16" hidden="1" customWidth="1"/>
    <col min="106" max="106" width="15.85546875" style="16" hidden="1" customWidth="1"/>
    <col min="107" max="107" width="15" style="16" hidden="1" customWidth="1"/>
    <col min="108" max="108" width="16" style="16" hidden="1" customWidth="1"/>
    <col min="109" max="111" width="15" style="16" hidden="1" customWidth="1"/>
    <col min="112" max="112" width="16.28515625" style="16" hidden="1" customWidth="1"/>
    <col min="113" max="113" width="15" style="16" hidden="1" customWidth="1"/>
    <col min="114" max="114" width="15.85546875" style="16" hidden="1" customWidth="1"/>
    <col min="115" max="117" width="15" style="16" hidden="1" customWidth="1"/>
    <col min="118" max="118" width="17" style="16" hidden="1" customWidth="1"/>
    <col min="119" max="119" width="15" style="16" hidden="1" customWidth="1"/>
    <col min="120" max="120" width="16.28515625" style="16" hidden="1" customWidth="1"/>
    <col min="121" max="123" width="15" style="16" hidden="1" customWidth="1"/>
    <col min="124" max="124" width="16" style="16" hidden="1" customWidth="1"/>
    <col min="125" max="129" width="15" style="16" hidden="1" customWidth="1"/>
    <col min="130" max="130" width="16.42578125" style="16" hidden="1" customWidth="1"/>
    <col min="131" max="135" width="15" style="16" hidden="1" customWidth="1"/>
    <col min="136" max="136" width="16.42578125" style="16" hidden="1" customWidth="1"/>
    <col min="137" max="141" width="15" style="16" hidden="1" customWidth="1"/>
    <col min="142" max="142" width="16.7109375" style="16" hidden="1" customWidth="1"/>
    <col min="143" max="147" width="15" style="16" hidden="1" customWidth="1"/>
    <col min="148" max="148" width="17.5703125" style="16" hidden="1" customWidth="1"/>
    <col min="149" max="153" width="15" style="16" hidden="1" customWidth="1"/>
    <col min="154" max="154" width="16.140625" style="16" hidden="1" customWidth="1"/>
    <col min="155" max="159" width="15" style="16" hidden="1" customWidth="1"/>
    <col min="160" max="160" width="16.42578125" style="16" hidden="1" customWidth="1"/>
    <col min="161" max="165" width="15" style="16" hidden="1" customWidth="1"/>
    <col min="166" max="166" width="16.85546875" style="16" hidden="1" customWidth="1"/>
    <col min="167" max="171" width="15" style="16" hidden="1" customWidth="1"/>
    <col min="172" max="172" width="16.85546875" style="16" hidden="1" customWidth="1"/>
    <col min="173" max="177" width="15" style="16" hidden="1" customWidth="1"/>
    <col min="178" max="178" width="16.42578125" style="16" hidden="1" customWidth="1"/>
    <col min="179" max="183" width="15" style="16" hidden="1" customWidth="1"/>
    <col min="184" max="184" width="17.140625" style="16" hidden="1" customWidth="1"/>
    <col min="185" max="189" width="15" style="16" hidden="1" customWidth="1"/>
    <col min="190" max="190" width="16.7109375" style="16" hidden="1" customWidth="1"/>
    <col min="191" max="191" width="15" style="16" hidden="1" customWidth="1"/>
    <col min="192" max="192" width="21.28515625" style="16" customWidth="1"/>
    <col min="193" max="193" width="20.5703125" style="16" customWidth="1"/>
    <col min="194" max="194" width="18.140625" style="16" customWidth="1"/>
    <col min="195" max="195" width="22" style="16" customWidth="1"/>
    <col min="196" max="196" width="20" style="16" customWidth="1"/>
    <col min="197" max="197" width="32" style="16" customWidth="1"/>
    <col min="198" max="16384" width="15.28515625" style="16"/>
  </cols>
  <sheetData>
    <row r="1" spans="1:197" s="17" customFormat="1" ht="22.5" customHeight="1" x14ac:dyDescent="0.2">
      <c r="A1" s="121"/>
      <c r="B1" s="121" t="s">
        <v>198</v>
      </c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</row>
    <row r="2" spans="1:197" s="5" customFormat="1" ht="16.5" thickBot="1" x14ac:dyDescent="0.25"/>
    <row r="3" spans="1:197" s="37" customFormat="1" ht="34.5" customHeight="1" thickBot="1" x14ac:dyDescent="0.25">
      <c r="A3" s="234" t="s">
        <v>7</v>
      </c>
      <c r="B3" s="237" t="s">
        <v>59</v>
      </c>
      <c r="C3" s="240" t="s">
        <v>9</v>
      </c>
      <c r="D3" s="241"/>
      <c r="E3" s="241"/>
      <c r="F3" s="242"/>
      <c r="G3" s="211" t="s">
        <v>60</v>
      </c>
      <c r="H3" s="212"/>
      <c r="I3" s="212"/>
      <c r="J3" s="213"/>
      <c r="K3" s="219" t="s">
        <v>81</v>
      </c>
      <c r="L3" s="70" t="s">
        <v>52</v>
      </c>
      <c r="M3" s="216" t="s">
        <v>77</v>
      </c>
      <c r="N3" s="217"/>
      <c r="O3" s="217"/>
      <c r="P3" s="217"/>
      <c r="Q3" s="217"/>
      <c r="R3" s="217"/>
      <c r="S3" s="217"/>
      <c r="T3" s="217"/>
      <c r="U3" s="217"/>
      <c r="V3" s="217"/>
      <c r="W3" s="217"/>
      <c r="X3" s="217"/>
      <c r="Y3" s="217"/>
      <c r="Z3" s="217"/>
      <c r="AA3" s="217"/>
      <c r="AB3" s="217"/>
      <c r="AC3" s="217"/>
      <c r="AD3" s="217"/>
      <c r="AE3" s="217"/>
      <c r="AF3" s="217"/>
      <c r="AG3" s="217"/>
      <c r="AH3" s="217"/>
      <c r="AI3" s="217"/>
      <c r="AJ3" s="217"/>
      <c r="AK3" s="217"/>
      <c r="AL3" s="217"/>
      <c r="AM3" s="217"/>
      <c r="AN3" s="217"/>
      <c r="AO3" s="217"/>
      <c r="AP3" s="217"/>
      <c r="AQ3" s="217"/>
      <c r="AR3" s="217"/>
      <c r="AS3" s="217"/>
      <c r="AT3" s="217"/>
      <c r="AU3" s="217"/>
      <c r="AV3" s="217"/>
      <c r="AW3" s="217"/>
      <c r="AX3" s="217"/>
      <c r="AY3" s="217"/>
      <c r="AZ3" s="217"/>
      <c r="BA3" s="217"/>
      <c r="BB3" s="217"/>
      <c r="BC3" s="217"/>
      <c r="BD3" s="217"/>
      <c r="BE3" s="217"/>
      <c r="BF3" s="217"/>
      <c r="BG3" s="217"/>
      <c r="BH3" s="217"/>
      <c r="BI3" s="217"/>
      <c r="BJ3" s="217"/>
      <c r="BK3" s="217"/>
      <c r="BL3" s="217"/>
      <c r="BM3" s="217"/>
      <c r="BN3" s="217"/>
      <c r="BO3" s="217"/>
      <c r="BP3" s="217"/>
      <c r="BQ3" s="217"/>
      <c r="BR3" s="217"/>
      <c r="BS3" s="218"/>
      <c r="BT3" s="126"/>
      <c r="BU3" s="126"/>
      <c r="BV3" s="126"/>
      <c r="BW3" s="126"/>
      <c r="BX3" s="126"/>
      <c r="BY3" s="126"/>
      <c r="BZ3" s="126"/>
      <c r="CA3" s="126"/>
      <c r="CB3" s="126"/>
      <c r="CC3" s="126"/>
      <c r="CD3" s="126"/>
      <c r="CE3" s="126"/>
      <c r="CF3" s="126"/>
      <c r="CG3" s="126"/>
      <c r="CH3" s="126"/>
      <c r="CI3" s="126"/>
      <c r="CJ3" s="126"/>
      <c r="CK3" s="126"/>
      <c r="CL3" s="126"/>
      <c r="CM3" s="126"/>
      <c r="CN3" s="126"/>
      <c r="CO3" s="126"/>
      <c r="CP3" s="126"/>
      <c r="CQ3" s="126"/>
      <c r="CR3" s="126"/>
      <c r="CS3" s="126"/>
      <c r="CT3" s="126"/>
      <c r="CU3" s="126"/>
      <c r="CV3" s="126"/>
      <c r="CW3" s="126"/>
      <c r="CX3" s="126"/>
      <c r="CY3" s="126"/>
      <c r="CZ3" s="126"/>
      <c r="DA3" s="126"/>
      <c r="DB3" s="126"/>
      <c r="DC3" s="126"/>
      <c r="DD3" s="126"/>
      <c r="DE3" s="126"/>
      <c r="DF3" s="126"/>
      <c r="DG3" s="126"/>
      <c r="DH3" s="126"/>
      <c r="DI3" s="126"/>
      <c r="DJ3" s="126"/>
      <c r="DK3" s="126"/>
      <c r="DL3" s="126"/>
      <c r="DM3" s="126"/>
      <c r="DN3" s="126"/>
      <c r="DO3" s="126"/>
      <c r="DP3" s="126"/>
      <c r="DQ3" s="126"/>
      <c r="DR3" s="126"/>
      <c r="DS3" s="126"/>
      <c r="DT3" s="126"/>
      <c r="DU3" s="126"/>
      <c r="DV3" s="126"/>
      <c r="DW3" s="126"/>
      <c r="DX3" s="126"/>
      <c r="DY3" s="126"/>
      <c r="DZ3" s="126"/>
      <c r="EA3" s="126"/>
      <c r="EB3" s="126"/>
      <c r="EC3" s="126"/>
      <c r="ED3" s="126"/>
      <c r="EE3" s="126"/>
      <c r="EF3" s="126"/>
      <c r="EG3" s="126"/>
      <c r="EH3" s="126"/>
      <c r="EI3" s="126"/>
      <c r="EJ3" s="126"/>
      <c r="EK3" s="126"/>
      <c r="EL3" s="126"/>
      <c r="EM3" s="126"/>
      <c r="EN3" s="126"/>
      <c r="EO3" s="126"/>
      <c r="EP3" s="126"/>
      <c r="EQ3" s="126"/>
      <c r="ER3" s="126"/>
      <c r="ES3" s="126"/>
      <c r="ET3" s="126"/>
      <c r="EU3" s="126"/>
      <c r="EV3" s="126"/>
      <c r="EW3" s="126"/>
      <c r="EX3" s="126"/>
      <c r="EY3" s="126"/>
      <c r="EZ3" s="126"/>
      <c r="FA3" s="126"/>
      <c r="FB3" s="126"/>
      <c r="FC3" s="126"/>
      <c r="FD3" s="126"/>
      <c r="FE3" s="126"/>
      <c r="FF3" s="126"/>
      <c r="FG3" s="126"/>
      <c r="FH3" s="126"/>
      <c r="FI3" s="126"/>
      <c r="FJ3" s="126"/>
      <c r="FK3" s="126"/>
      <c r="FL3" s="126"/>
      <c r="FM3" s="126"/>
      <c r="FN3" s="126"/>
      <c r="FO3" s="126"/>
      <c r="FP3" s="126"/>
      <c r="FQ3" s="126"/>
      <c r="FR3" s="126"/>
      <c r="FS3" s="126"/>
      <c r="FT3" s="126"/>
      <c r="FU3" s="126"/>
      <c r="FV3" s="126"/>
      <c r="FW3" s="126"/>
      <c r="FX3" s="126"/>
      <c r="FY3" s="126"/>
      <c r="FZ3" s="126"/>
      <c r="GA3" s="126"/>
      <c r="GB3" s="126"/>
      <c r="GC3" s="126"/>
      <c r="GD3" s="126"/>
      <c r="GE3" s="126"/>
      <c r="GF3" s="126"/>
      <c r="GG3" s="126"/>
      <c r="GH3" s="126"/>
      <c r="GI3" s="126"/>
      <c r="GJ3" s="226" t="s">
        <v>82</v>
      </c>
      <c r="GK3" s="231" t="s">
        <v>83</v>
      </c>
      <c r="GL3" s="257" t="s">
        <v>80</v>
      </c>
    </row>
    <row r="4" spans="1:197" s="27" customFormat="1" ht="29.25" customHeight="1" x14ac:dyDescent="0.2">
      <c r="A4" s="235"/>
      <c r="B4" s="238"/>
      <c r="C4" s="245" t="s">
        <v>10</v>
      </c>
      <c r="D4" s="246"/>
      <c r="E4" s="245" t="s">
        <v>11</v>
      </c>
      <c r="F4" s="246"/>
      <c r="G4" s="247" t="s">
        <v>12</v>
      </c>
      <c r="H4" s="229" t="s">
        <v>13</v>
      </c>
      <c r="I4" s="229" t="s">
        <v>65</v>
      </c>
      <c r="J4" s="214" t="s">
        <v>68</v>
      </c>
      <c r="K4" s="220"/>
      <c r="L4" s="249" t="s">
        <v>78</v>
      </c>
      <c r="M4" s="222" t="s">
        <v>14</v>
      </c>
      <c r="N4" s="223"/>
      <c r="O4" s="223"/>
      <c r="P4" s="223"/>
      <c r="Q4" s="224"/>
      <c r="R4" s="222" t="s">
        <v>15</v>
      </c>
      <c r="S4" s="223"/>
      <c r="T4" s="223"/>
      <c r="U4" s="223"/>
      <c r="V4" s="223"/>
      <c r="W4" s="224"/>
      <c r="X4" s="222" t="s">
        <v>16</v>
      </c>
      <c r="Y4" s="223"/>
      <c r="Z4" s="223"/>
      <c r="AA4" s="223"/>
      <c r="AB4" s="223"/>
      <c r="AC4" s="224"/>
      <c r="AD4" s="222" t="s">
        <v>17</v>
      </c>
      <c r="AE4" s="223"/>
      <c r="AF4" s="223"/>
      <c r="AG4" s="223"/>
      <c r="AH4" s="223"/>
      <c r="AI4" s="224"/>
      <c r="AJ4" s="222" t="s">
        <v>18</v>
      </c>
      <c r="AK4" s="223"/>
      <c r="AL4" s="223"/>
      <c r="AM4" s="223"/>
      <c r="AN4" s="223"/>
      <c r="AO4" s="224"/>
      <c r="AP4" s="222" t="s">
        <v>19</v>
      </c>
      <c r="AQ4" s="223"/>
      <c r="AR4" s="223"/>
      <c r="AS4" s="223"/>
      <c r="AT4" s="223"/>
      <c r="AU4" s="224"/>
      <c r="AV4" s="222" t="s">
        <v>20</v>
      </c>
      <c r="AW4" s="223"/>
      <c r="AX4" s="223"/>
      <c r="AY4" s="223"/>
      <c r="AZ4" s="223"/>
      <c r="BA4" s="224"/>
      <c r="BB4" s="222" t="s">
        <v>21</v>
      </c>
      <c r="BC4" s="223"/>
      <c r="BD4" s="223"/>
      <c r="BE4" s="223"/>
      <c r="BF4" s="223"/>
      <c r="BG4" s="224"/>
      <c r="BH4" s="222" t="s">
        <v>22</v>
      </c>
      <c r="BI4" s="223"/>
      <c r="BJ4" s="223"/>
      <c r="BK4" s="223"/>
      <c r="BL4" s="223"/>
      <c r="BM4" s="224"/>
      <c r="BN4" s="222" t="s">
        <v>23</v>
      </c>
      <c r="BO4" s="223"/>
      <c r="BP4" s="223"/>
      <c r="BQ4" s="223"/>
      <c r="BR4" s="223"/>
      <c r="BS4" s="225"/>
      <c r="BT4" s="222" t="s">
        <v>85</v>
      </c>
      <c r="BU4" s="223"/>
      <c r="BV4" s="223"/>
      <c r="BW4" s="223"/>
      <c r="BX4" s="223"/>
      <c r="BY4" s="225"/>
      <c r="BZ4" s="222" t="s">
        <v>88</v>
      </c>
      <c r="CA4" s="223"/>
      <c r="CB4" s="223"/>
      <c r="CC4" s="223"/>
      <c r="CD4" s="223"/>
      <c r="CE4" s="225"/>
      <c r="CF4" s="222" t="s">
        <v>89</v>
      </c>
      <c r="CG4" s="223"/>
      <c r="CH4" s="223"/>
      <c r="CI4" s="223"/>
      <c r="CJ4" s="223"/>
      <c r="CK4" s="225"/>
      <c r="CL4" s="222" t="s">
        <v>94</v>
      </c>
      <c r="CM4" s="223"/>
      <c r="CN4" s="223"/>
      <c r="CO4" s="223"/>
      <c r="CP4" s="223"/>
      <c r="CQ4" s="225"/>
      <c r="CR4" s="222" t="s">
        <v>97</v>
      </c>
      <c r="CS4" s="223"/>
      <c r="CT4" s="223"/>
      <c r="CU4" s="223"/>
      <c r="CV4" s="223"/>
      <c r="CW4" s="225"/>
      <c r="CX4" s="222" t="s">
        <v>100</v>
      </c>
      <c r="CY4" s="223"/>
      <c r="CZ4" s="223"/>
      <c r="DA4" s="223"/>
      <c r="DB4" s="223"/>
      <c r="DC4" s="225"/>
      <c r="DD4" s="222" t="s">
        <v>103</v>
      </c>
      <c r="DE4" s="223"/>
      <c r="DF4" s="223"/>
      <c r="DG4" s="223"/>
      <c r="DH4" s="223"/>
      <c r="DI4" s="225"/>
      <c r="DJ4" s="222" t="s">
        <v>106</v>
      </c>
      <c r="DK4" s="223"/>
      <c r="DL4" s="223"/>
      <c r="DM4" s="223"/>
      <c r="DN4" s="223"/>
      <c r="DO4" s="225"/>
      <c r="DP4" s="222" t="s">
        <v>109</v>
      </c>
      <c r="DQ4" s="223"/>
      <c r="DR4" s="223"/>
      <c r="DS4" s="223"/>
      <c r="DT4" s="223"/>
      <c r="DU4" s="225"/>
      <c r="DV4" s="222" t="s">
        <v>112</v>
      </c>
      <c r="DW4" s="223"/>
      <c r="DX4" s="223"/>
      <c r="DY4" s="223"/>
      <c r="DZ4" s="223"/>
      <c r="EA4" s="225"/>
      <c r="EB4" s="222" t="s">
        <v>134</v>
      </c>
      <c r="EC4" s="223"/>
      <c r="ED4" s="223"/>
      <c r="EE4" s="223"/>
      <c r="EF4" s="223"/>
      <c r="EG4" s="225"/>
      <c r="EH4" s="222" t="s">
        <v>138</v>
      </c>
      <c r="EI4" s="223"/>
      <c r="EJ4" s="223"/>
      <c r="EK4" s="223"/>
      <c r="EL4" s="223"/>
      <c r="EM4" s="225"/>
      <c r="EN4" s="222" t="s">
        <v>142</v>
      </c>
      <c r="EO4" s="223"/>
      <c r="EP4" s="223"/>
      <c r="EQ4" s="223"/>
      <c r="ER4" s="223"/>
      <c r="ES4" s="225"/>
      <c r="ET4" s="222" t="s">
        <v>146</v>
      </c>
      <c r="EU4" s="223"/>
      <c r="EV4" s="223"/>
      <c r="EW4" s="223"/>
      <c r="EX4" s="223"/>
      <c r="EY4" s="225"/>
      <c r="EZ4" s="222" t="s">
        <v>150</v>
      </c>
      <c r="FA4" s="223"/>
      <c r="FB4" s="223"/>
      <c r="FC4" s="223"/>
      <c r="FD4" s="223"/>
      <c r="FE4" s="225"/>
      <c r="FF4" s="222" t="s">
        <v>154</v>
      </c>
      <c r="FG4" s="223"/>
      <c r="FH4" s="223"/>
      <c r="FI4" s="223"/>
      <c r="FJ4" s="223"/>
      <c r="FK4" s="225"/>
      <c r="FL4" s="222" t="s">
        <v>158</v>
      </c>
      <c r="FM4" s="223"/>
      <c r="FN4" s="223"/>
      <c r="FO4" s="223"/>
      <c r="FP4" s="223"/>
      <c r="FQ4" s="225"/>
      <c r="FR4" s="222" t="s">
        <v>162</v>
      </c>
      <c r="FS4" s="223"/>
      <c r="FT4" s="223"/>
      <c r="FU4" s="223"/>
      <c r="FV4" s="223"/>
      <c r="FW4" s="225"/>
      <c r="FX4" s="222" t="s">
        <v>166</v>
      </c>
      <c r="FY4" s="223"/>
      <c r="FZ4" s="223"/>
      <c r="GA4" s="223"/>
      <c r="GB4" s="223"/>
      <c r="GC4" s="225"/>
      <c r="GD4" s="222" t="s">
        <v>169</v>
      </c>
      <c r="GE4" s="223"/>
      <c r="GF4" s="223"/>
      <c r="GG4" s="223"/>
      <c r="GH4" s="223"/>
      <c r="GI4" s="225"/>
      <c r="GJ4" s="227"/>
      <c r="GK4" s="232"/>
      <c r="GL4" s="257"/>
    </row>
    <row r="5" spans="1:197" s="27" customFormat="1" ht="246" customHeight="1" thickBot="1" x14ac:dyDescent="0.25">
      <c r="A5" s="235"/>
      <c r="B5" s="239"/>
      <c r="C5" s="243" t="s">
        <v>71</v>
      </c>
      <c r="D5" s="244"/>
      <c r="E5" s="243" t="s">
        <v>75</v>
      </c>
      <c r="F5" s="244"/>
      <c r="G5" s="248"/>
      <c r="H5" s="230"/>
      <c r="I5" s="230"/>
      <c r="J5" s="215"/>
      <c r="K5" s="221"/>
      <c r="L5" s="250"/>
      <c r="M5" s="67" t="s">
        <v>58</v>
      </c>
      <c r="N5" s="132" t="s">
        <v>124</v>
      </c>
      <c r="O5" s="68" t="s">
        <v>66</v>
      </c>
      <c r="P5" s="68" t="s">
        <v>79</v>
      </c>
      <c r="Q5" s="69" t="s">
        <v>24</v>
      </c>
      <c r="R5" s="67" t="s">
        <v>25</v>
      </c>
      <c r="S5" s="132" t="s">
        <v>125</v>
      </c>
      <c r="T5" s="68" t="s">
        <v>58</v>
      </c>
      <c r="U5" s="68" t="s">
        <v>66</v>
      </c>
      <c r="V5" s="68" t="s">
        <v>79</v>
      </c>
      <c r="W5" s="69" t="s">
        <v>26</v>
      </c>
      <c r="X5" s="67" t="s">
        <v>27</v>
      </c>
      <c r="Y5" s="132" t="s">
        <v>126</v>
      </c>
      <c r="Z5" s="68" t="s">
        <v>58</v>
      </c>
      <c r="AA5" s="68" t="s">
        <v>66</v>
      </c>
      <c r="AB5" s="68" t="s">
        <v>79</v>
      </c>
      <c r="AC5" s="69" t="s">
        <v>28</v>
      </c>
      <c r="AD5" s="67" t="s">
        <v>29</v>
      </c>
      <c r="AE5" s="132" t="s">
        <v>127</v>
      </c>
      <c r="AF5" s="68" t="s">
        <v>58</v>
      </c>
      <c r="AG5" s="68" t="s">
        <v>66</v>
      </c>
      <c r="AH5" s="68" t="s">
        <v>79</v>
      </c>
      <c r="AI5" s="69" t="s">
        <v>30</v>
      </c>
      <c r="AJ5" s="67" t="s">
        <v>31</v>
      </c>
      <c r="AK5" s="132" t="s">
        <v>128</v>
      </c>
      <c r="AL5" s="68" t="s">
        <v>58</v>
      </c>
      <c r="AM5" s="68" t="s">
        <v>66</v>
      </c>
      <c r="AN5" s="68" t="s">
        <v>79</v>
      </c>
      <c r="AO5" s="69" t="s">
        <v>32</v>
      </c>
      <c r="AP5" s="67" t="s">
        <v>33</v>
      </c>
      <c r="AQ5" s="132" t="s">
        <v>129</v>
      </c>
      <c r="AR5" s="68" t="s">
        <v>58</v>
      </c>
      <c r="AS5" s="68" t="s">
        <v>66</v>
      </c>
      <c r="AT5" s="68" t="s">
        <v>79</v>
      </c>
      <c r="AU5" s="69" t="s">
        <v>34</v>
      </c>
      <c r="AV5" s="67" t="s">
        <v>35</v>
      </c>
      <c r="AW5" s="132" t="s">
        <v>130</v>
      </c>
      <c r="AX5" s="68" t="s">
        <v>58</v>
      </c>
      <c r="AY5" s="68" t="s">
        <v>66</v>
      </c>
      <c r="AZ5" s="68" t="s">
        <v>79</v>
      </c>
      <c r="BA5" s="69" t="s">
        <v>36</v>
      </c>
      <c r="BB5" s="67" t="s">
        <v>37</v>
      </c>
      <c r="BC5" s="132" t="s">
        <v>131</v>
      </c>
      <c r="BD5" s="68" t="s">
        <v>58</v>
      </c>
      <c r="BE5" s="68" t="s">
        <v>66</v>
      </c>
      <c r="BF5" s="68" t="s">
        <v>79</v>
      </c>
      <c r="BG5" s="69" t="s">
        <v>38</v>
      </c>
      <c r="BH5" s="67" t="s">
        <v>39</v>
      </c>
      <c r="BI5" s="132" t="s">
        <v>132</v>
      </c>
      <c r="BJ5" s="68" t="s">
        <v>58</v>
      </c>
      <c r="BK5" s="68" t="s">
        <v>66</v>
      </c>
      <c r="BL5" s="68" t="s">
        <v>79</v>
      </c>
      <c r="BM5" s="69" t="s">
        <v>40</v>
      </c>
      <c r="BN5" s="67" t="s">
        <v>41</v>
      </c>
      <c r="BO5" s="132" t="s">
        <v>133</v>
      </c>
      <c r="BP5" s="68" t="s">
        <v>58</v>
      </c>
      <c r="BQ5" s="68" t="s">
        <v>66</v>
      </c>
      <c r="BR5" s="68" t="s">
        <v>79</v>
      </c>
      <c r="BS5" s="83" t="s">
        <v>42</v>
      </c>
      <c r="BT5" s="67" t="s">
        <v>86</v>
      </c>
      <c r="BU5" s="132" t="s">
        <v>115</v>
      </c>
      <c r="BV5" s="130" t="s">
        <v>58</v>
      </c>
      <c r="BW5" s="130" t="s">
        <v>66</v>
      </c>
      <c r="BX5" s="130" t="s">
        <v>79</v>
      </c>
      <c r="BY5" s="131" t="s">
        <v>87</v>
      </c>
      <c r="BZ5" s="67" t="s">
        <v>90</v>
      </c>
      <c r="CA5" s="132" t="s">
        <v>116</v>
      </c>
      <c r="CB5" s="130" t="s">
        <v>58</v>
      </c>
      <c r="CC5" s="130" t="s">
        <v>66</v>
      </c>
      <c r="CD5" s="130" t="s">
        <v>79</v>
      </c>
      <c r="CE5" s="131" t="s">
        <v>91</v>
      </c>
      <c r="CF5" s="67" t="s">
        <v>92</v>
      </c>
      <c r="CG5" s="132" t="s">
        <v>117</v>
      </c>
      <c r="CH5" s="130" t="s">
        <v>58</v>
      </c>
      <c r="CI5" s="130" t="s">
        <v>66</v>
      </c>
      <c r="CJ5" s="130" t="s">
        <v>79</v>
      </c>
      <c r="CK5" s="131" t="s">
        <v>93</v>
      </c>
      <c r="CL5" s="67" t="s">
        <v>95</v>
      </c>
      <c r="CM5" s="132" t="s">
        <v>118</v>
      </c>
      <c r="CN5" s="130" t="s">
        <v>58</v>
      </c>
      <c r="CO5" s="130" t="s">
        <v>66</v>
      </c>
      <c r="CP5" s="130" t="s">
        <v>79</v>
      </c>
      <c r="CQ5" s="131" t="s">
        <v>96</v>
      </c>
      <c r="CR5" s="67" t="s">
        <v>98</v>
      </c>
      <c r="CS5" s="132" t="s">
        <v>119</v>
      </c>
      <c r="CT5" s="130" t="s">
        <v>58</v>
      </c>
      <c r="CU5" s="130" t="s">
        <v>66</v>
      </c>
      <c r="CV5" s="130" t="s">
        <v>79</v>
      </c>
      <c r="CW5" s="131" t="s">
        <v>99</v>
      </c>
      <c r="CX5" s="67" t="s">
        <v>101</v>
      </c>
      <c r="CY5" s="132" t="s">
        <v>120</v>
      </c>
      <c r="CZ5" s="130" t="s">
        <v>58</v>
      </c>
      <c r="DA5" s="130" t="s">
        <v>66</v>
      </c>
      <c r="DB5" s="130" t="s">
        <v>79</v>
      </c>
      <c r="DC5" s="131" t="s">
        <v>102</v>
      </c>
      <c r="DD5" s="67" t="s">
        <v>104</v>
      </c>
      <c r="DE5" s="132" t="s">
        <v>121</v>
      </c>
      <c r="DF5" s="130" t="s">
        <v>58</v>
      </c>
      <c r="DG5" s="130" t="s">
        <v>66</v>
      </c>
      <c r="DH5" s="130" t="s">
        <v>79</v>
      </c>
      <c r="DI5" s="131" t="s">
        <v>105</v>
      </c>
      <c r="DJ5" s="67" t="s">
        <v>107</v>
      </c>
      <c r="DK5" s="130" t="s">
        <v>67</v>
      </c>
      <c r="DL5" s="130" t="s">
        <v>58</v>
      </c>
      <c r="DM5" s="130" t="s">
        <v>66</v>
      </c>
      <c r="DN5" s="130" t="s">
        <v>79</v>
      </c>
      <c r="DO5" s="131" t="s">
        <v>108</v>
      </c>
      <c r="DP5" s="67" t="s">
        <v>110</v>
      </c>
      <c r="DQ5" s="132" t="s">
        <v>122</v>
      </c>
      <c r="DR5" s="130" t="s">
        <v>58</v>
      </c>
      <c r="DS5" s="130" t="s">
        <v>66</v>
      </c>
      <c r="DT5" s="130" t="s">
        <v>79</v>
      </c>
      <c r="DU5" s="131" t="s">
        <v>111</v>
      </c>
      <c r="DV5" s="67" t="s">
        <v>114</v>
      </c>
      <c r="DW5" s="132" t="s">
        <v>123</v>
      </c>
      <c r="DX5" s="130" t="s">
        <v>58</v>
      </c>
      <c r="DY5" s="130" t="s">
        <v>66</v>
      </c>
      <c r="DZ5" s="130" t="s">
        <v>79</v>
      </c>
      <c r="EA5" s="131" t="s">
        <v>113</v>
      </c>
      <c r="EB5" s="67" t="s">
        <v>135</v>
      </c>
      <c r="EC5" s="133" t="s">
        <v>136</v>
      </c>
      <c r="ED5" s="133" t="s">
        <v>58</v>
      </c>
      <c r="EE5" s="133" t="s">
        <v>66</v>
      </c>
      <c r="EF5" s="133" t="s">
        <v>79</v>
      </c>
      <c r="EG5" s="134" t="s">
        <v>137</v>
      </c>
      <c r="EH5" s="67" t="s">
        <v>139</v>
      </c>
      <c r="EI5" s="133" t="s">
        <v>140</v>
      </c>
      <c r="EJ5" s="133" t="s">
        <v>58</v>
      </c>
      <c r="EK5" s="133" t="s">
        <v>66</v>
      </c>
      <c r="EL5" s="133" t="s">
        <v>79</v>
      </c>
      <c r="EM5" s="134" t="s">
        <v>141</v>
      </c>
      <c r="EN5" s="67" t="s">
        <v>143</v>
      </c>
      <c r="EO5" s="133" t="s">
        <v>144</v>
      </c>
      <c r="EP5" s="133" t="s">
        <v>58</v>
      </c>
      <c r="EQ5" s="133" t="s">
        <v>66</v>
      </c>
      <c r="ER5" s="133" t="s">
        <v>79</v>
      </c>
      <c r="ES5" s="134" t="s">
        <v>145</v>
      </c>
      <c r="ET5" s="67" t="s">
        <v>147</v>
      </c>
      <c r="EU5" s="133" t="s">
        <v>148</v>
      </c>
      <c r="EV5" s="133" t="s">
        <v>58</v>
      </c>
      <c r="EW5" s="133" t="s">
        <v>66</v>
      </c>
      <c r="EX5" s="133" t="s">
        <v>79</v>
      </c>
      <c r="EY5" s="134" t="s">
        <v>149</v>
      </c>
      <c r="EZ5" s="67" t="s">
        <v>151</v>
      </c>
      <c r="FA5" s="133" t="s">
        <v>152</v>
      </c>
      <c r="FB5" s="133" t="s">
        <v>58</v>
      </c>
      <c r="FC5" s="133" t="s">
        <v>66</v>
      </c>
      <c r="FD5" s="133" t="s">
        <v>79</v>
      </c>
      <c r="FE5" s="134" t="s">
        <v>153</v>
      </c>
      <c r="FF5" s="67" t="s">
        <v>155</v>
      </c>
      <c r="FG5" s="133" t="s">
        <v>156</v>
      </c>
      <c r="FH5" s="133" t="s">
        <v>58</v>
      </c>
      <c r="FI5" s="133" t="s">
        <v>66</v>
      </c>
      <c r="FJ5" s="133" t="s">
        <v>79</v>
      </c>
      <c r="FK5" s="134" t="s">
        <v>157</v>
      </c>
      <c r="FL5" s="67" t="s">
        <v>159</v>
      </c>
      <c r="FM5" s="133" t="s">
        <v>160</v>
      </c>
      <c r="FN5" s="133" t="s">
        <v>58</v>
      </c>
      <c r="FO5" s="133" t="s">
        <v>66</v>
      </c>
      <c r="FP5" s="133" t="s">
        <v>79</v>
      </c>
      <c r="FQ5" s="134" t="s">
        <v>161</v>
      </c>
      <c r="FR5" s="67" t="s">
        <v>163</v>
      </c>
      <c r="FS5" s="133" t="s">
        <v>164</v>
      </c>
      <c r="FT5" s="133" t="s">
        <v>58</v>
      </c>
      <c r="FU5" s="133" t="s">
        <v>66</v>
      </c>
      <c r="FV5" s="133" t="s">
        <v>79</v>
      </c>
      <c r="FW5" s="134" t="s">
        <v>165</v>
      </c>
      <c r="FX5" s="67" t="s">
        <v>167</v>
      </c>
      <c r="FY5" s="133" t="s">
        <v>171</v>
      </c>
      <c r="FZ5" s="133" t="s">
        <v>58</v>
      </c>
      <c r="GA5" s="133" t="s">
        <v>66</v>
      </c>
      <c r="GB5" s="133" t="s">
        <v>79</v>
      </c>
      <c r="GC5" s="134" t="s">
        <v>168</v>
      </c>
      <c r="GD5" s="67" t="s">
        <v>170</v>
      </c>
      <c r="GE5" s="133" t="s">
        <v>172</v>
      </c>
      <c r="GF5" s="133" t="s">
        <v>58</v>
      </c>
      <c r="GG5" s="133" t="s">
        <v>66</v>
      </c>
      <c r="GH5" s="133" t="s">
        <v>79</v>
      </c>
      <c r="GI5" s="134" t="s">
        <v>173</v>
      </c>
      <c r="GJ5" s="228"/>
      <c r="GK5" s="233"/>
      <c r="GL5" s="257"/>
      <c r="GM5" s="251"/>
      <c r="GN5" s="251"/>
    </row>
    <row r="6" spans="1:197" s="27" customFormat="1" ht="19.5" thickBot="1" x14ac:dyDescent="0.25">
      <c r="A6" s="236"/>
      <c r="B6" s="103" t="s">
        <v>43</v>
      </c>
      <c r="C6" s="72" t="s">
        <v>44</v>
      </c>
      <c r="D6" s="73" t="s">
        <v>45</v>
      </c>
      <c r="E6" s="72" t="s">
        <v>46</v>
      </c>
      <c r="F6" s="73" t="s">
        <v>47</v>
      </c>
      <c r="G6" s="66" t="s">
        <v>1</v>
      </c>
      <c r="H6" s="65" t="s">
        <v>2</v>
      </c>
      <c r="I6" s="55" t="s">
        <v>73</v>
      </c>
      <c r="J6" s="110" t="s">
        <v>70</v>
      </c>
      <c r="K6" s="115" t="s">
        <v>48</v>
      </c>
      <c r="L6" s="71" t="s">
        <v>49</v>
      </c>
      <c r="M6" s="72" t="s">
        <v>48</v>
      </c>
      <c r="N6" s="65" t="s">
        <v>56</v>
      </c>
      <c r="O6" s="65" t="s">
        <v>55</v>
      </c>
      <c r="P6" s="65" t="s">
        <v>54</v>
      </c>
      <c r="Q6" s="73" t="s">
        <v>53</v>
      </c>
      <c r="R6" s="72" t="s">
        <v>47</v>
      </c>
      <c r="S6" s="65" t="s">
        <v>56</v>
      </c>
      <c r="T6" s="65" t="s">
        <v>48</v>
      </c>
      <c r="U6" s="65" t="s">
        <v>55</v>
      </c>
      <c r="V6" s="65" t="s">
        <v>54</v>
      </c>
      <c r="W6" s="73" t="s">
        <v>53</v>
      </c>
      <c r="X6" s="72" t="s">
        <v>47</v>
      </c>
      <c r="Y6" s="65" t="s">
        <v>56</v>
      </c>
      <c r="Z6" s="65" t="s">
        <v>48</v>
      </c>
      <c r="AA6" s="65" t="s">
        <v>55</v>
      </c>
      <c r="AB6" s="65" t="s">
        <v>54</v>
      </c>
      <c r="AC6" s="73" t="s">
        <v>53</v>
      </c>
      <c r="AD6" s="72" t="s">
        <v>47</v>
      </c>
      <c r="AE6" s="65" t="s">
        <v>56</v>
      </c>
      <c r="AF6" s="65" t="s">
        <v>48</v>
      </c>
      <c r="AG6" s="65" t="s">
        <v>55</v>
      </c>
      <c r="AH6" s="65" t="s">
        <v>54</v>
      </c>
      <c r="AI6" s="73" t="s">
        <v>53</v>
      </c>
      <c r="AJ6" s="72" t="s">
        <v>47</v>
      </c>
      <c r="AK6" s="65" t="s">
        <v>56</v>
      </c>
      <c r="AL6" s="65" t="s">
        <v>48</v>
      </c>
      <c r="AM6" s="65" t="s">
        <v>55</v>
      </c>
      <c r="AN6" s="65" t="s">
        <v>54</v>
      </c>
      <c r="AO6" s="73" t="s">
        <v>53</v>
      </c>
      <c r="AP6" s="72" t="s">
        <v>47</v>
      </c>
      <c r="AQ6" s="65" t="s">
        <v>56</v>
      </c>
      <c r="AR6" s="65" t="s">
        <v>48</v>
      </c>
      <c r="AS6" s="65" t="s">
        <v>55</v>
      </c>
      <c r="AT6" s="65" t="s">
        <v>54</v>
      </c>
      <c r="AU6" s="73" t="s">
        <v>53</v>
      </c>
      <c r="AV6" s="72" t="s">
        <v>47</v>
      </c>
      <c r="AW6" s="65" t="s">
        <v>56</v>
      </c>
      <c r="AX6" s="65" t="s">
        <v>48</v>
      </c>
      <c r="AY6" s="65" t="s">
        <v>55</v>
      </c>
      <c r="AZ6" s="65" t="s">
        <v>54</v>
      </c>
      <c r="BA6" s="73" t="s">
        <v>53</v>
      </c>
      <c r="BB6" s="72" t="s">
        <v>47</v>
      </c>
      <c r="BC6" s="65" t="s">
        <v>56</v>
      </c>
      <c r="BD6" s="65" t="s">
        <v>48</v>
      </c>
      <c r="BE6" s="65" t="s">
        <v>55</v>
      </c>
      <c r="BF6" s="65" t="s">
        <v>54</v>
      </c>
      <c r="BG6" s="73" t="s">
        <v>53</v>
      </c>
      <c r="BH6" s="72" t="s">
        <v>47</v>
      </c>
      <c r="BI6" s="65" t="s">
        <v>56</v>
      </c>
      <c r="BJ6" s="65" t="s">
        <v>48</v>
      </c>
      <c r="BK6" s="65" t="s">
        <v>55</v>
      </c>
      <c r="BL6" s="65" t="s">
        <v>54</v>
      </c>
      <c r="BM6" s="73" t="s">
        <v>53</v>
      </c>
      <c r="BN6" s="72" t="s">
        <v>47</v>
      </c>
      <c r="BO6" s="65" t="s">
        <v>56</v>
      </c>
      <c r="BP6" s="65" t="s">
        <v>48</v>
      </c>
      <c r="BQ6" s="65" t="s">
        <v>55</v>
      </c>
      <c r="BR6" s="65" t="s">
        <v>54</v>
      </c>
      <c r="BS6" s="110" t="s">
        <v>53</v>
      </c>
      <c r="BT6" s="72" t="s">
        <v>47</v>
      </c>
      <c r="BU6" s="65" t="s">
        <v>56</v>
      </c>
      <c r="BV6" s="65" t="s">
        <v>48</v>
      </c>
      <c r="BW6" s="65" t="s">
        <v>84</v>
      </c>
      <c r="BX6" s="65" t="s">
        <v>54</v>
      </c>
      <c r="BY6" s="110" t="s">
        <v>53</v>
      </c>
      <c r="BZ6" s="72" t="s">
        <v>47</v>
      </c>
      <c r="CA6" s="65" t="s">
        <v>56</v>
      </c>
      <c r="CB6" s="65" t="s">
        <v>48</v>
      </c>
      <c r="CC6" s="65" t="s">
        <v>84</v>
      </c>
      <c r="CD6" s="65" t="s">
        <v>54</v>
      </c>
      <c r="CE6" s="110" t="s">
        <v>53</v>
      </c>
      <c r="CF6" s="72" t="s">
        <v>47</v>
      </c>
      <c r="CG6" s="65" t="s">
        <v>56</v>
      </c>
      <c r="CH6" s="65" t="s">
        <v>48</v>
      </c>
      <c r="CI6" s="65" t="s">
        <v>84</v>
      </c>
      <c r="CJ6" s="65" t="s">
        <v>54</v>
      </c>
      <c r="CK6" s="110" t="s">
        <v>53</v>
      </c>
      <c r="CL6" s="72" t="s">
        <v>47</v>
      </c>
      <c r="CM6" s="65" t="s">
        <v>56</v>
      </c>
      <c r="CN6" s="65" t="s">
        <v>48</v>
      </c>
      <c r="CO6" s="65" t="s">
        <v>84</v>
      </c>
      <c r="CP6" s="65" t="s">
        <v>54</v>
      </c>
      <c r="CQ6" s="110" t="s">
        <v>53</v>
      </c>
      <c r="CR6" s="72" t="s">
        <v>47</v>
      </c>
      <c r="CS6" s="65" t="s">
        <v>56</v>
      </c>
      <c r="CT6" s="65" t="s">
        <v>48</v>
      </c>
      <c r="CU6" s="65" t="s">
        <v>84</v>
      </c>
      <c r="CV6" s="65" t="s">
        <v>54</v>
      </c>
      <c r="CW6" s="110" t="s">
        <v>53</v>
      </c>
      <c r="CX6" s="72" t="s">
        <v>47</v>
      </c>
      <c r="CY6" s="65" t="s">
        <v>56</v>
      </c>
      <c r="CZ6" s="65" t="s">
        <v>48</v>
      </c>
      <c r="DA6" s="65" t="s">
        <v>84</v>
      </c>
      <c r="DB6" s="65" t="s">
        <v>54</v>
      </c>
      <c r="DC6" s="110" t="s">
        <v>53</v>
      </c>
      <c r="DD6" s="72" t="s">
        <v>47</v>
      </c>
      <c r="DE6" s="65" t="s">
        <v>56</v>
      </c>
      <c r="DF6" s="65" t="s">
        <v>48</v>
      </c>
      <c r="DG6" s="65" t="s">
        <v>84</v>
      </c>
      <c r="DH6" s="65" t="s">
        <v>54</v>
      </c>
      <c r="DI6" s="110" t="s">
        <v>53</v>
      </c>
      <c r="DJ6" s="72" t="s">
        <v>47</v>
      </c>
      <c r="DK6" s="65" t="s">
        <v>56</v>
      </c>
      <c r="DL6" s="65" t="s">
        <v>48</v>
      </c>
      <c r="DM6" s="65" t="s">
        <v>84</v>
      </c>
      <c r="DN6" s="65" t="s">
        <v>54</v>
      </c>
      <c r="DO6" s="110" t="s">
        <v>53</v>
      </c>
      <c r="DP6" s="72" t="s">
        <v>47</v>
      </c>
      <c r="DQ6" s="65" t="s">
        <v>56</v>
      </c>
      <c r="DR6" s="65" t="s">
        <v>48</v>
      </c>
      <c r="DS6" s="65" t="s">
        <v>84</v>
      </c>
      <c r="DT6" s="65" t="s">
        <v>54</v>
      </c>
      <c r="DU6" s="110" t="s">
        <v>53</v>
      </c>
      <c r="DV6" s="72" t="s">
        <v>47</v>
      </c>
      <c r="DW6" s="65" t="s">
        <v>56</v>
      </c>
      <c r="DX6" s="65" t="s">
        <v>48</v>
      </c>
      <c r="DY6" s="65" t="s">
        <v>84</v>
      </c>
      <c r="DZ6" s="65" t="s">
        <v>54</v>
      </c>
      <c r="EA6" s="110" t="s">
        <v>53</v>
      </c>
      <c r="EB6" s="72" t="s">
        <v>47</v>
      </c>
      <c r="EC6" s="65" t="s">
        <v>56</v>
      </c>
      <c r="ED6" s="65" t="s">
        <v>48</v>
      </c>
      <c r="EE6" s="65" t="s">
        <v>84</v>
      </c>
      <c r="EF6" s="65" t="s">
        <v>54</v>
      </c>
      <c r="EG6" s="110" t="s">
        <v>53</v>
      </c>
      <c r="EH6" s="72" t="s">
        <v>47</v>
      </c>
      <c r="EI6" s="65" t="s">
        <v>56</v>
      </c>
      <c r="EJ6" s="65" t="s">
        <v>48</v>
      </c>
      <c r="EK6" s="65" t="s">
        <v>84</v>
      </c>
      <c r="EL6" s="65" t="s">
        <v>54</v>
      </c>
      <c r="EM6" s="110" t="s">
        <v>53</v>
      </c>
      <c r="EN6" s="72" t="s">
        <v>47</v>
      </c>
      <c r="EO6" s="65" t="s">
        <v>56</v>
      </c>
      <c r="EP6" s="65" t="s">
        <v>48</v>
      </c>
      <c r="EQ6" s="65" t="s">
        <v>84</v>
      </c>
      <c r="ER6" s="65" t="s">
        <v>54</v>
      </c>
      <c r="ES6" s="110" t="s">
        <v>53</v>
      </c>
      <c r="ET6" s="72" t="s">
        <v>47</v>
      </c>
      <c r="EU6" s="65" t="s">
        <v>56</v>
      </c>
      <c r="EV6" s="65" t="s">
        <v>48</v>
      </c>
      <c r="EW6" s="65" t="s">
        <v>84</v>
      </c>
      <c r="EX6" s="65" t="s">
        <v>54</v>
      </c>
      <c r="EY6" s="110" t="s">
        <v>53</v>
      </c>
      <c r="EZ6" s="72" t="s">
        <v>47</v>
      </c>
      <c r="FA6" s="65" t="s">
        <v>56</v>
      </c>
      <c r="FB6" s="65" t="s">
        <v>48</v>
      </c>
      <c r="FC6" s="65" t="s">
        <v>84</v>
      </c>
      <c r="FD6" s="65" t="s">
        <v>54</v>
      </c>
      <c r="FE6" s="110" t="s">
        <v>53</v>
      </c>
      <c r="FF6" s="72" t="s">
        <v>47</v>
      </c>
      <c r="FG6" s="65" t="s">
        <v>56</v>
      </c>
      <c r="FH6" s="65" t="s">
        <v>48</v>
      </c>
      <c r="FI6" s="65" t="s">
        <v>84</v>
      </c>
      <c r="FJ6" s="65" t="s">
        <v>54</v>
      </c>
      <c r="FK6" s="110" t="s">
        <v>53</v>
      </c>
      <c r="FL6" s="72" t="s">
        <v>47</v>
      </c>
      <c r="FM6" s="65" t="s">
        <v>56</v>
      </c>
      <c r="FN6" s="65" t="s">
        <v>48</v>
      </c>
      <c r="FO6" s="65" t="s">
        <v>84</v>
      </c>
      <c r="FP6" s="65" t="s">
        <v>54</v>
      </c>
      <c r="FQ6" s="110" t="s">
        <v>53</v>
      </c>
      <c r="FR6" s="72" t="s">
        <v>47</v>
      </c>
      <c r="FS6" s="65" t="s">
        <v>56</v>
      </c>
      <c r="FT6" s="65" t="s">
        <v>48</v>
      </c>
      <c r="FU6" s="65" t="s">
        <v>84</v>
      </c>
      <c r="FV6" s="65" t="s">
        <v>54</v>
      </c>
      <c r="FW6" s="110" t="s">
        <v>53</v>
      </c>
      <c r="FX6" s="72" t="s">
        <v>47</v>
      </c>
      <c r="FY6" s="65" t="s">
        <v>56</v>
      </c>
      <c r="FZ6" s="65" t="s">
        <v>48</v>
      </c>
      <c r="GA6" s="65" t="s">
        <v>84</v>
      </c>
      <c r="GB6" s="65" t="s">
        <v>54</v>
      </c>
      <c r="GC6" s="110" t="s">
        <v>53</v>
      </c>
      <c r="GD6" s="72" t="s">
        <v>47</v>
      </c>
      <c r="GE6" s="65" t="s">
        <v>56</v>
      </c>
      <c r="GF6" s="65" t="s">
        <v>48</v>
      </c>
      <c r="GG6" s="65" t="s">
        <v>84</v>
      </c>
      <c r="GH6" s="65" t="s">
        <v>54</v>
      </c>
      <c r="GI6" s="110" t="s">
        <v>53</v>
      </c>
      <c r="GJ6" s="176" t="s">
        <v>53</v>
      </c>
      <c r="GK6" s="174" t="s">
        <v>61</v>
      </c>
      <c r="GL6" s="258" t="s">
        <v>76</v>
      </c>
      <c r="GM6" s="251"/>
      <c r="GN6" s="251"/>
    </row>
    <row r="7" spans="1:197" s="28" customFormat="1" thickBot="1" x14ac:dyDescent="0.25">
      <c r="A7" s="100">
        <v>1</v>
      </c>
      <c r="B7" s="104">
        <f t="shared" ref="B7:Y7" si="0">A7+1</f>
        <v>2</v>
      </c>
      <c r="C7" s="61">
        <f t="shared" si="0"/>
        <v>3</v>
      </c>
      <c r="D7" s="64">
        <f t="shared" si="0"/>
        <v>4</v>
      </c>
      <c r="E7" s="61">
        <f t="shared" si="0"/>
        <v>5</v>
      </c>
      <c r="F7" s="64">
        <f t="shared" si="0"/>
        <v>6</v>
      </c>
      <c r="G7" s="99">
        <f>F7+1</f>
        <v>7</v>
      </c>
      <c r="H7" s="62">
        <f t="shared" si="0"/>
        <v>8</v>
      </c>
      <c r="I7" s="62">
        <f t="shared" ref="I7:L7" si="1">H7+1</f>
        <v>9</v>
      </c>
      <c r="J7" s="111">
        <f>I7+1</f>
        <v>10</v>
      </c>
      <c r="K7" s="116">
        <f>J7+1</f>
        <v>11</v>
      </c>
      <c r="L7" s="63">
        <f t="shared" si="1"/>
        <v>12</v>
      </c>
      <c r="M7" s="61">
        <f>L7+1</f>
        <v>13</v>
      </c>
      <c r="N7" s="62">
        <f t="shared" si="0"/>
        <v>14</v>
      </c>
      <c r="O7" s="62">
        <f t="shared" si="0"/>
        <v>15</v>
      </c>
      <c r="P7" s="62">
        <f t="shared" si="0"/>
        <v>16</v>
      </c>
      <c r="Q7" s="64">
        <f t="shared" si="0"/>
        <v>17</v>
      </c>
      <c r="R7" s="61">
        <f t="shared" si="0"/>
        <v>18</v>
      </c>
      <c r="S7" s="62">
        <f t="shared" si="0"/>
        <v>19</v>
      </c>
      <c r="T7" s="62">
        <f>S7+1</f>
        <v>20</v>
      </c>
      <c r="U7" s="62">
        <f t="shared" si="0"/>
        <v>21</v>
      </c>
      <c r="V7" s="62">
        <f t="shared" si="0"/>
        <v>22</v>
      </c>
      <c r="W7" s="64">
        <f t="shared" si="0"/>
        <v>23</v>
      </c>
      <c r="X7" s="61">
        <f t="shared" si="0"/>
        <v>24</v>
      </c>
      <c r="Y7" s="62">
        <f t="shared" si="0"/>
        <v>25</v>
      </c>
      <c r="Z7" s="62">
        <f>Y7+1</f>
        <v>26</v>
      </c>
      <c r="AA7" s="62">
        <f t="shared" ref="AA7:AZ7" si="2">Z7+1</f>
        <v>27</v>
      </c>
      <c r="AB7" s="62">
        <f t="shared" si="2"/>
        <v>28</v>
      </c>
      <c r="AC7" s="64">
        <f t="shared" si="2"/>
        <v>29</v>
      </c>
      <c r="AD7" s="61">
        <f t="shared" si="2"/>
        <v>30</v>
      </c>
      <c r="AE7" s="62">
        <f t="shared" si="2"/>
        <v>31</v>
      </c>
      <c r="AF7" s="62">
        <f>AE7+1</f>
        <v>32</v>
      </c>
      <c r="AG7" s="62">
        <f t="shared" si="2"/>
        <v>33</v>
      </c>
      <c r="AH7" s="62">
        <f t="shared" si="2"/>
        <v>34</v>
      </c>
      <c r="AI7" s="64">
        <f t="shared" si="2"/>
        <v>35</v>
      </c>
      <c r="AJ7" s="61">
        <f t="shared" si="2"/>
        <v>36</v>
      </c>
      <c r="AK7" s="62">
        <f t="shared" si="2"/>
        <v>37</v>
      </c>
      <c r="AL7" s="62">
        <f>AK7+1</f>
        <v>38</v>
      </c>
      <c r="AM7" s="62">
        <f t="shared" si="2"/>
        <v>39</v>
      </c>
      <c r="AN7" s="62">
        <f t="shared" si="2"/>
        <v>40</v>
      </c>
      <c r="AO7" s="64">
        <f t="shared" si="2"/>
        <v>41</v>
      </c>
      <c r="AP7" s="61">
        <f t="shared" si="2"/>
        <v>42</v>
      </c>
      <c r="AQ7" s="62">
        <f t="shared" si="2"/>
        <v>43</v>
      </c>
      <c r="AR7" s="62">
        <f>AQ7+1</f>
        <v>44</v>
      </c>
      <c r="AS7" s="62">
        <f t="shared" si="2"/>
        <v>45</v>
      </c>
      <c r="AT7" s="62">
        <f t="shared" si="2"/>
        <v>46</v>
      </c>
      <c r="AU7" s="64">
        <f t="shared" si="2"/>
        <v>47</v>
      </c>
      <c r="AV7" s="61">
        <f t="shared" si="2"/>
        <v>48</v>
      </c>
      <c r="AW7" s="62">
        <f t="shared" si="2"/>
        <v>49</v>
      </c>
      <c r="AX7" s="62">
        <f>AW7+1</f>
        <v>50</v>
      </c>
      <c r="AY7" s="62">
        <f t="shared" si="2"/>
        <v>51</v>
      </c>
      <c r="AZ7" s="62">
        <f t="shared" si="2"/>
        <v>52</v>
      </c>
      <c r="BA7" s="64">
        <f t="shared" ref="BA7:BS7" si="3">AZ7+1</f>
        <v>53</v>
      </c>
      <c r="BB7" s="61">
        <f t="shared" si="3"/>
        <v>54</v>
      </c>
      <c r="BC7" s="62">
        <f t="shared" si="3"/>
        <v>55</v>
      </c>
      <c r="BD7" s="62">
        <f>BC7+1</f>
        <v>56</v>
      </c>
      <c r="BE7" s="62">
        <f t="shared" si="3"/>
        <v>57</v>
      </c>
      <c r="BF7" s="62">
        <f t="shared" si="3"/>
        <v>58</v>
      </c>
      <c r="BG7" s="64">
        <f t="shared" si="3"/>
        <v>59</v>
      </c>
      <c r="BH7" s="61">
        <f t="shared" si="3"/>
        <v>60</v>
      </c>
      <c r="BI7" s="62">
        <f t="shared" si="3"/>
        <v>61</v>
      </c>
      <c r="BJ7" s="62">
        <f>BI7+1</f>
        <v>62</v>
      </c>
      <c r="BK7" s="62">
        <f t="shared" si="3"/>
        <v>63</v>
      </c>
      <c r="BL7" s="62">
        <f t="shared" si="3"/>
        <v>64</v>
      </c>
      <c r="BM7" s="64">
        <f t="shared" si="3"/>
        <v>65</v>
      </c>
      <c r="BN7" s="61">
        <f t="shared" si="3"/>
        <v>66</v>
      </c>
      <c r="BO7" s="62">
        <f t="shared" si="3"/>
        <v>67</v>
      </c>
      <c r="BP7" s="62">
        <f>BO7+1</f>
        <v>68</v>
      </c>
      <c r="BQ7" s="62">
        <f t="shared" si="3"/>
        <v>69</v>
      </c>
      <c r="BR7" s="62">
        <f t="shared" si="3"/>
        <v>70</v>
      </c>
      <c r="BS7" s="111">
        <f t="shared" si="3"/>
        <v>71</v>
      </c>
      <c r="BT7" s="61">
        <f t="shared" ref="BT7" si="4">BS7+1</f>
        <v>72</v>
      </c>
      <c r="BU7" s="62">
        <f t="shared" ref="BU7" si="5">BT7+1</f>
        <v>73</v>
      </c>
      <c r="BV7" s="62">
        <f>BU7+1</f>
        <v>74</v>
      </c>
      <c r="BW7" s="62">
        <f t="shared" ref="BW7" si="6">BV7+1</f>
        <v>75</v>
      </c>
      <c r="BX7" s="62">
        <f t="shared" ref="BX7" si="7">BW7+1</f>
        <v>76</v>
      </c>
      <c r="BY7" s="111">
        <f t="shared" ref="BY7" si="8">BX7+1</f>
        <v>77</v>
      </c>
      <c r="BZ7" s="61">
        <f t="shared" ref="BZ7" si="9">BY7+1</f>
        <v>78</v>
      </c>
      <c r="CA7" s="62">
        <f t="shared" ref="CA7" si="10">BZ7+1</f>
        <v>79</v>
      </c>
      <c r="CB7" s="62">
        <f>CA7+1</f>
        <v>80</v>
      </c>
      <c r="CC7" s="62">
        <f t="shared" ref="CC7" si="11">CB7+1</f>
        <v>81</v>
      </c>
      <c r="CD7" s="62">
        <f t="shared" ref="CD7" si="12">CC7+1</f>
        <v>82</v>
      </c>
      <c r="CE7" s="111">
        <f t="shared" ref="CE7" si="13">CD7+1</f>
        <v>83</v>
      </c>
      <c r="CF7" s="61">
        <f t="shared" ref="CF7" si="14">CE7+1</f>
        <v>84</v>
      </c>
      <c r="CG7" s="62">
        <f t="shared" ref="CG7" si="15">CF7+1</f>
        <v>85</v>
      </c>
      <c r="CH7" s="62">
        <f>CG7+1</f>
        <v>86</v>
      </c>
      <c r="CI7" s="62">
        <f t="shared" ref="CI7" si="16">CH7+1</f>
        <v>87</v>
      </c>
      <c r="CJ7" s="62">
        <f t="shared" ref="CJ7" si="17">CI7+1</f>
        <v>88</v>
      </c>
      <c r="CK7" s="111">
        <f t="shared" ref="CK7" si="18">CJ7+1</f>
        <v>89</v>
      </c>
      <c r="CL7" s="61">
        <f t="shared" ref="CL7" si="19">CK7+1</f>
        <v>90</v>
      </c>
      <c r="CM7" s="62">
        <f t="shared" ref="CM7" si="20">CL7+1</f>
        <v>91</v>
      </c>
      <c r="CN7" s="62">
        <f>CM7+1</f>
        <v>92</v>
      </c>
      <c r="CO7" s="62">
        <f t="shared" ref="CO7" si="21">CN7+1</f>
        <v>93</v>
      </c>
      <c r="CP7" s="62">
        <f t="shared" ref="CP7" si="22">CO7+1</f>
        <v>94</v>
      </c>
      <c r="CQ7" s="111">
        <f t="shared" ref="CQ7" si="23">CP7+1</f>
        <v>95</v>
      </c>
      <c r="CR7" s="61">
        <f t="shared" ref="CR7" si="24">CQ7+1</f>
        <v>96</v>
      </c>
      <c r="CS7" s="62">
        <f t="shared" ref="CS7" si="25">CR7+1</f>
        <v>97</v>
      </c>
      <c r="CT7" s="62">
        <f>CS7+1</f>
        <v>98</v>
      </c>
      <c r="CU7" s="62">
        <f t="shared" ref="CU7" si="26">CT7+1</f>
        <v>99</v>
      </c>
      <c r="CV7" s="62">
        <f t="shared" ref="CV7" si="27">CU7+1</f>
        <v>100</v>
      </c>
      <c r="CW7" s="111">
        <f t="shared" ref="CW7" si="28">CV7+1</f>
        <v>101</v>
      </c>
      <c r="CX7" s="61">
        <f t="shared" ref="CX7" si="29">CW7+1</f>
        <v>102</v>
      </c>
      <c r="CY7" s="62">
        <f t="shared" ref="CY7" si="30">CX7+1</f>
        <v>103</v>
      </c>
      <c r="CZ7" s="62">
        <f>CY7+1</f>
        <v>104</v>
      </c>
      <c r="DA7" s="62">
        <f t="shared" ref="DA7" si="31">CZ7+1</f>
        <v>105</v>
      </c>
      <c r="DB7" s="62">
        <f t="shared" ref="DB7" si="32">DA7+1</f>
        <v>106</v>
      </c>
      <c r="DC7" s="111">
        <f t="shared" ref="DC7" si="33">DB7+1</f>
        <v>107</v>
      </c>
      <c r="DD7" s="61">
        <f t="shared" ref="DD7" si="34">DC7+1</f>
        <v>108</v>
      </c>
      <c r="DE7" s="62">
        <f t="shared" ref="DE7" si="35">DD7+1</f>
        <v>109</v>
      </c>
      <c r="DF7" s="62">
        <f>DE7+1</f>
        <v>110</v>
      </c>
      <c r="DG7" s="62">
        <f t="shared" ref="DG7" si="36">DF7+1</f>
        <v>111</v>
      </c>
      <c r="DH7" s="62">
        <f t="shared" ref="DH7" si="37">DG7+1</f>
        <v>112</v>
      </c>
      <c r="DI7" s="111">
        <f t="shared" ref="DI7" si="38">DH7+1</f>
        <v>113</v>
      </c>
      <c r="DJ7" s="61">
        <f t="shared" ref="DJ7" si="39">DI7+1</f>
        <v>114</v>
      </c>
      <c r="DK7" s="62">
        <f t="shared" ref="DK7" si="40">DJ7+1</f>
        <v>115</v>
      </c>
      <c r="DL7" s="62">
        <f>DK7+1</f>
        <v>116</v>
      </c>
      <c r="DM7" s="62">
        <f t="shared" ref="DM7" si="41">DL7+1</f>
        <v>117</v>
      </c>
      <c r="DN7" s="62">
        <f t="shared" ref="DN7" si="42">DM7+1</f>
        <v>118</v>
      </c>
      <c r="DO7" s="111">
        <f t="shared" ref="DO7" si="43">DN7+1</f>
        <v>119</v>
      </c>
      <c r="DP7" s="61">
        <f t="shared" ref="DP7" si="44">DO7+1</f>
        <v>120</v>
      </c>
      <c r="DQ7" s="62">
        <f t="shared" ref="DQ7" si="45">DP7+1</f>
        <v>121</v>
      </c>
      <c r="DR7" s="62">
        <f>DQ7+1</f>
        <v>122</v>
      </c>
      <c r="DS7" s="62">
        <f t="shared" ref="DS7" si="46">DR7+1</f>
        <v>123</v>
      </c>
      <c r="DT7" s="62">
        <f t="shared" ref="DT7" si="47">DS7+1</f>
        <v>124</v>
      </c>
      <c r="DU7" s="111">
        <f t="shared" ref="DU7" si="48">DT7+1</f>
        <v>125</v>
      </c>
      <c r="DV7" s="61">
        <f t="shared" ref="DV7" si="49">DU7+1</f>
        <v>126</v>
      </c>
      <c r="DW7" s="62">
        <f t="shared" ref="DW7" si="50">DV7+1</f>
        <v>127</v>
      </c>
      <c r="DX7" s="62">
        <f>DW7+1</f>
        <v>128</v>
      </c>
      <c r="DY7" s="62">
        <f t="shared" ref="DY7" si="51">DX7+1</f>
        <v>129</v>
      </c>
      <c r="DZ7" s="62">
        <f t="shared" ref="DZ7" si="52">DY7+1</f>
        <v>130</v>
      </c>
      <c r="EA7" s="111">
        <f t="shared" ref="EA7" si="53">DZ7+1</f>
        <v>131</v>
      </c>
      <c r="EB7" s="61">
        <f t="shared" ref="EB7" si="54">EA7+1</f>
        <v>132</v>
      </c>
      <c r="EC7" s="62">
        <f t="shared" ref="EC7" si="55">EB7+1</f>
        <v>133</v>
      </c>
      <c r="ED7" s="62">
        <f>EC7+1</f>
        <v>134</v>
      </c>
      <c r="EE7" s="62">
        <f t="shared" ref="EE7" si="56">ED7+1</f>
        <v>135</v>
      </c>
      <c r="EF7" s="62">
        <f t="shared" ref="EF7" si="57">EE7+1</f>
        <v>136</v>
      </c>
      <c r="EG7" s="111">
        <f t="shared" ref="EG7" si="58">EF7+1</f>
        <v>137</v>
      </c>
      <c r="EH7" s="61">
        <f t="shared" ref="EH7" si="59">EG7+1</f>
        <v>138</v>
      </c>
      <c r="EI7" s="62">
        <f t="shared" ref="EI7" si="60">EH7+1</f>
        <v>139</v>
      </c>
      <c r="EJ7" s="62">
        <f>EI7+1</f>
        <v>140</v>
      </c>
      <c r="EK7" s="62">
        <f t="shared" ref="EK7" si="61">EJ7+1</f>
        <v>141</v>
      </c>
      <c r="EL7" s="62">
        <f t="shared" ref="EL7" si="62">EK7+1</f>
        <v>142</v>
      </c>
      <c r="EM7" s="111">
        <f t="shared" ref="EM7" si="63">EL7+1</f>
        <v>143</v>
      </c>
      <c r="EN7" s="61">
        <f t="shared" ref="EN7" si="64">EM7+1</f>
        <v>144</v>
      </c>
      <c r="EO7" s="62">
        <f t="shared" ref="EO7" si="65">EN7+1</f>
        <v>145</v>
      </c>
      <c r="EP7" s="62">
        <f>EO7+1</f>
        <v>146</v>
      </c>
      <c r="EQ7" s="62">
        <f t="shared" ref="EQ7" si="66">EP7+1</f>
        <v>147</v>
      </c>
      <c r="ER7" s="62">
        <f t="shared" ref="ER7" si="67">EQ7+1</f>
        <v>148</v>
      </c>
      <c r="ES7" s="111">
        <f t="shared" ref="ES7" si="68">ER7+1</f>
        <v>149</v>
      </c>
      <c r="ET7" s="61">
        <f t="shared" ref="ET7" si="69">ES7+1</f>
        <v>150</v>
      </c>
      <c r="EU7" s="62">
        <f t="shared" ref="EU7" si="70">ET7+1</f>
        <v>151</v>
      </c>
      <c r="EV7" s="62">
        <f>EU7+1</f>
        <v>152</v>
      </c>
      <c r="EW7" s="62">
        <f t="shared" ref="EW7" si="71">EV7+1</f>
        <v>153</v>
      </c>
      <c r="EX7" s="62">
        <f t="shared" ref="EX7" si="72">EW7+1</f>
        <v>154</v>
      </c>
      <c r="EY7" s="111">
        <f t="shared" ref="EY7" si="73">EX7+1</f>
        <v>155</v>
      </c>
      <c r="EZ7" s="61">
        <f t="shared" ref="EZ7" si="74">EY7+1</f>
        <v>156</v>
      </c>
      <c r="FA7" s="62">
        <f t="shared" ref="FA7" si="75">EZ7+1</f>
        <v>157</v>
      </c>
      <c r="FB7" s="62">
        <f>FA7+1</f>
        <v>158</v>
      </c>
      <c r="FC7" s="62">
        <f t="shared" ref="FC7" si="76">FB7+1</f>
        <v>159</v>
      </c>
      <c r="FD7" s="62">
        <f t="shared" ref="FD7" si="77">FC7+1</f>
        <v>160</v>
      </c>
      <c r="FE7" s="111">
        <f t="shared" ref="FE7" si="78">FD7+1</f>
        <v>161</v>
      </c>
      <c r="FF7" s="61">
        <f t="shared" ref="FF7" si="79">FE7+1</f>
        <v>162</v>
      </c>
      <c r="FG7" s="62">
        <f t="shared" ref="FG7" si="80">FF7+1</f>
        <v>163</v>
      </c>
      <c r="FH7" s="62">
        <f>FG7+1</f>
        <v>164</v>
      </c>
      <c r="FI7" s="62">
        <f t="shared" ref="FI7" si="81">FH7+1</f>
        <v>165</v>
      </c>
      <c r="FJ7" s="62">
        <f t="shared" ref="FJ7" si="82">FI7+1</f>
        <v>166</v>
      </c>
      <c r="FK7" s="111">
        <f t="shared" ref="FK7" si="83">FJ7+1</f>
        <v>167</v>
      </c>
      <c r="FL7" s="61">
        <f t="shared" ref="FL7" si="84">FK7+1</f>
        <v>168</v>
      </c>
      <c r="FM7" s="62">
        <f t="shared" ref="FM7" si="85">FL7+1</f>
        <v>169</v>
      </c>
      <c r="FN7" s="62">
        <f>FM7+1</f>
        <v>170</v>
      </c>
      <c r="FO7" s="62">
        <f t="shared" ref="FO7" si="86">FN7+1</f>
        <v>171</v>
      </c>
      <c r="FP7" s="62">
        <f t="shared" ref="FP7" si="87">FO7+1</f>
        <v>172</v>
      </c>
      <c r="FQ7" s="111">
        <f t="shared" ref="FQ7" si="88">FP7+1</f>
        <v>173</v>
      </c>
      <c r="FR7" s="61">
        <f t="shared" ref="FR7" si="89">FQ7+1</f>
        <v>174</v>
      </c>
      <c r="FS7" s="62">
        <f t="shared" ref="FS7" si="90">FR7+1</f>
        <v>175</v>
      </c>
      <c r="FT7" s="62">
        <f>FS7+1</f>
        <v>176</v>
      </c>
      <c r="FU7" s="62">
        <f t="shared" ref="FU7" si="91">FT7+1</f>
        <v>177</v>
      </c>
      <c r="FV7" s="62">
        <f t="shared" ref="FV7" si="92">FU7+1</f>
        <v>178</v>
      </c>
      <c r="FW7" s="111">
        <f t="shared" ref="FW7" si="93">FV7+1</f>
        <v>179</v>
      </c>
      <c r="FX7" s="61">
        <f t="shared" ref="FX7" si="94">FW7+1</f>
        <v>180</v>
      </c>
      <c r="FY7" s="62">
        <f t="shared" ref="FY7" si="95">FX7+1</f>
        <v>181</v>
      </c>
      <c r="FZ7" s="62">
        <f>FY7+1</f>
        <v>182</v>
      </c>
      <c r="GA7" s="62">
        <f t="shared" ref="GA7" si="96">FZ7+1</f>
        <v>183</v>
      </c>
      <c r="GB7" s="62">
        <f t="shared" ref="GB7" si="97">GA7+1</f>
        <v>184</v>
      </c>
      <c r="GC7" s="111">
        <f t="shared" ref="GC7" si="98">GB7+1</f>
        <v>185</v>
      </c>
      <c r="GD7" s="61">
        <f t="shared" ref="GD7" si="99">GC7+1</f>
        <v>186</v>
      </c>
      <c r="GE7" s="62">
        <f t="shared" ref="GE7" si="100">GD7+1</f>
        <v>187</v>
      </c>
      <c r="GF7" s="62">
        <f>GE7+1</f>
        <v>188</v>
      </c>
      <c r="GG7" s="62">
        <f t="shared" ref="GG7" si="101">GF7+1</f>
        <v>189</v>
      </c>
      <c r="GH7" s="62">
        <f t="shared" ref="GH7" si="102">GG7+1</f>
        <v>190</v>
      </c>
      <c r="GI7" s="111">
        <f t="shared" ref="GI7" si="103">GH7+1</f>
        <v>191</v>
      </c>
      <c r="GJ7" s="63">
        <f>78</f>
        <v>78</v>
      </c>
      <c r="GK7" s="175">
        <f>GJ7+1</f>
        <v>79</v>
      </c>
      <c r="GL7" s="259">
        <f>GK7+1</f>
        <v>80</v>
      </c>
      <c r="GM7" s="252"/>
      <c r="GN7" s="252"/>
    </row>
    <row r="8" spans="1:197" s="29" customFormat="1" thickBot="1" x14ac:dyDescent="0.25">
      <c r="A8" s="101" t="s">
        <v>3</v>
      </c>
      <c r="B8" s="105" t="s">
        <v>4</v>
      </c>
      <c r="C8" s="56" t="s">
        <v>50</v>
      </c>
      <c r="D8" s="60" t="s">
        <v>4</v>
      </c>
      <c r="E8" s="56" t="s">
        <v>50</v>
      </c>
      <c r="F8" s="60" t="s">
        <v>4</v>
      </c>
      <c r="G8" s="59" t="s">
        <v>5</v>
      </c>
      <c r="H8" s="57" t="s">
        <v>4</v>
      </c>
      <c r="I8" s="57" t="s">
        <v>51</v>
      </c>
      <c r="J8" s="112" t="s">
        <v>69</v>
      </c>
      <c r="K8" s="117" t="s">
        <v>51</v>
      </c>
      <c r="L8" s="58" t="s">
        <v>4</v>
      </c>
      <c r="M8" s="56" t="s">
        <v>51</v>
      </c>
      <c r="N8" s="57" t="s">
        <v>51</v>
      </c>
      <c r="O8" s="57" t="s">
        <v>51</v>
      </c>
      <c r="P8" s="57" t="s">
        <v>4</v>
      </c>
      <c r="Q8" s="60" t="s">
        <v>4</v>
      </c>
      <c r="R8" s="56" t="s">
        <v>4</v>
      </c>
      <c r="S8" s="57" t="s">
        <v>51</v>
      </c>
      <c r="T8" s="57" t="s">
        <v>51</v>
      </c>
      <c r="U8" s="57" t="s">
        <v>51</v>
      </c>
      <c r="V8" s="57" t="s">
        <v>4</v>
      </c>
      <c r="W8" s="60" t="s">
        <v>4</v>
      </c>
      <c r="X8" s="56" t="s">
        <v>4</v>
      </c>
      <c r="Y8" s="57" t="s">
        <v>51</v>
      </c>
      <c r="Z8" s="57" t="s">
        <v>51</v>
      </c>
      <c r="AA8" s="57" t="s">
        <v>51</v>
      </c>
      <c r="AB8" s="57" t="s">
        <v>4</v>
      </c>
      <c r="AC8" s="60" t="s">
        <v>4</v>
      </c>
      <c r="AD8" s="56" t="s">
        <v>4</v>
      </c>
      <c r="AE8" s="57" t="s">
        <v>51</v>
      </c>
      <c r="AF8" s="57" t="s">
        <v>51</v>
      </c>
      <c r="AG8" s="57" t="s">
        <v>51</v>
      </c>
      <c r="AH8" s="57" t="s">
        <v>4</v>
      </c>
      <c r="AI8" s="60" t="s">
        <v>4</v>
      </c>
      <c r="AJ8" s="56" t="s">
        <v>4</v>
      </c>
      <c r="AK8" s="57" t="s">
        <v>51</v>
      </c>
      <c r="AL8" s="57" t="s">
        <v>51</v>
      </c>
      <c r="AM8" s="57" t="s">
        <v>51</v>
      </c>
      <c r="AN8" s="57" t="s">
        <v>4</v>
      </c>
      <c r="AO8" s="60" t="s">
        <v>4</v>
      </c>
      <c r="AP8" s="56" t="s">
        <v>4</v>
      </c>
      <c r="AQ8" s="57" t="s">
        <v>51</v>
      </c>
      <c r="AR8" s="57" t="s">
        <v>51</v>
      </c>
      <c r="AS8" s="57" t="s">
        <v>51</v>
      </c>
      <c r="AT8" s="57" t="s">
        <v>4</v>
      </c>
      <c r="AU8" s="60" t="s">
        <v>4</v>
      </c>
      <c r="AV8" s="56" t="s">
        <v>4</v>
      </c>
      <c r="AW8" s="57" t="s">
        <v>51</v>
      </c>
      <c r="AX8" s="57" t="s">
        <v>51</v>
      </c>
      <c r="AY8" s="57" t="s">
        <v>51</v>
      </c>
      <c r="AZ8" s="57" t="s">
        <v>4</v>
      </c>
      <c r="BA8" s="60" t="s">
        <v>4</v>
      </c>
      <c r="BB8" s="56" t="s">
        <v>4</v>
      </c>
      <c r="BC8" s="57" t="s">
        <v>51</v>
      </c>
      <c r="BD8" s="57" t="s">
        <v>51</v>
      </c>
      <c r="BE8" s="57" t="s">
        <v>51</v>
      </c>
      <c r="BF8" s="57" t="s">
        <v>4</v>
      </c>
      <c r="BG8" s="60" t="s">
        <v>4</v>
      </c>
      <c r="BH8" s="56" t="s">
        <v>4</v>
      </c>
      <c r="BI8" s="57" t="s">
        <v>51</v>
      </c>
      <c r="BJ8" s="57" t="s">
        <v>51</v>
      </c>
      <c r="BK8" s="57" t="s">
        <v>51</v>
      </c>
      <c r="BL8" s="57" t="s">
        <v>4</v>
      </c>
      <c r="BM8" s="60" t="s">
        <v>4</v>
      </c>
      <c r="BN8" s="56" t="s">
        <v>4</v>
      </c>
      <c r="BO8" s="57" t="s">
        <v>51</v>
      </c>
      <c r="BP8" s="57" t="s">
        <v>51</v>
      </c>
      <c r="BQ8" s="57" t="s">
        <v>51</v>
      </c>
      <c r="BR8" s="57" t="s">
        <v>4</v>
      </c>
      <c r="BS8" s="112" t="s">
        <v>4</v>
      </c>
      <c r="BT8" s="56" t="s">
        <v>4</v>
      </c>
      <c r="BU8" s="57" t="s">
        <v>51</v>
      </c>
      <c r="BV8" s="57" t="s">
        <v>51</v>
      </c>
      <c r="BW8" s="57" t="s">
        <v>51</v>
      </c>
      <c r="BX8" s="57" t="s">
        <v>4</v>
      </c>
      <c r="BY8" s="112" t="s">
        <v>4</v>
      </c>
      <c r="BZ8" s="56" t="s">
        <v>4</v>
      </c>
      <c r="CA8" s="57" t="s">
        <v>51</v>
      </c>
      <c r="CB8" s="57" t="s">
        <v>51</v>
      </c>
      <c r="CC8" s="57" t="s">
        <v>51</v>
      </c>
      <c r="CD8" s="57" t="s">
        <v>4</v>
      </c>
      <c r="CE8" s="112" t="s">
        <v>4</v>
      </c>
      <c r="CF8" s="56" t="s">
        <v>4</v>
      </c>
      <c r="CG8" s="57" t="s">
        <v>51</v>
      </c>
      <c r="CH8" s="57" t="s">
        <v>51</v>
      </c>
      <c r="CI8" s="57" t="s">
        <v>51</v>
      </c>
      <c r="CJ8" s="57" t="s">
        <v>4</v>
      </c>
      <c r="CK8" s="112" t="s">
        <v>4</v>
      </c>
      <c r="CL8" s="56" t="s">
        <v>4</v>
      </c>
      <c r="CM8" s="57" t="s">
        <v>51</v>
      </c>
      <c r="CN8" s="57" t="s">
        <v>51</v>
      </c>
      <c r="CO8" s="57" t="s">
        <v>51</v>
      </c>
      <c r="CP8" s="57" t="s">
        <v>4</v>
      </c>
      <c r="CQ8" s="112" t="s">
        <v>4</v>
      </c>
      <c r="CR8" s="56" t="s">
        <v>4</v>
      </c>
      <c r="CS8" s="57" t="s">
        <v>51</v>
      </c>
      <c r="CT8" s="57" t="s">
        <v>51</v>
      </c>
      <c r="CU8" s="57" t="s">
        <v>51</v>
      </c>
      <c r="CV8" s="57" t="s">
        <v>4</v>
      </c>
      <c r="CW8" s="112" t="s">
        <v>4</v>
      </c>
      <c r="CX8" s="56" t="s">
        <v>4</v>
      </c>
      <c r="CY8" s="57" t="s">
        <v>51</v>
      </c>
      <c r="CZ8" s="57" t="s">
        <v>51</v>
      </c>
      <c r="DA8" s="57" t="s">
        <v>51</v>
      </c>
      <c r="DB8" s="57" t="s">
        <v>4</v>
      </c>
      <c r="DC8" s="112" t="s">
        <v>4</v>
      </c>
      <c r="DD8" s="56" t="s">
        <v>4</v>
      </c>
      <c r="DE8" s="57" t="s">
        <v>51</v>
      </c>
      <c r="DF8" s="57" t="s">
        <v>51</v>
      </c>
      <c r="DG8" s="57" t="s">
        <v>51</v>
      </c>
      <c r="DH8" s="57" t="s">
        <v>4</v>
      </c>
      <c r="DI8" s="112" t="s">
        <v>4</v>
      </c>
      <c r="DJ8" s="56" t="s">
        <v>4</v>
      </c>
      <c r="DK8" s="57" t="s">
        <v>51</v>
      </c>
      <c r="DL8" s="57" t="s">
        <v>51</v>
      </c>
      <c r="DM8" s="57" t="s">
        <v>51</v>
      </c>
      <c r="DN8" s="57" t="s">
        <v>4</v>
      </c>
      <c r="DO8" s="112" t="s">
        <v>4</v>
      </c>
      <c r="DP8" s="56" t="s">
        <v>4</v>
      </c>
      <c r="DQ8" s="57" t="s">
        <v>51</v>
      </c>
      <c r="DR8" s="57" t="s">
        <v>51</v>
      </c>
      <c r="DS8" s="57" t="s">
        <v>51</v>
      </c>
      <c r="DT8" s="57" t="s">
        <v>4</v>
      </c>
      <c r="DU8" s="112" t="s">
        <v>4</v>
      </c>
      <c r="DV8" s="56" t="s">
        <v>4</v>
      </c>
      <c r="DW8" s="57" t="s">
        <v>51</v>
      </c>
      <c r="DX8" s="57" t="s">
        <v>51</v>
      </c>
      <c r="DY8" s="57" t="s">
        <v>51</v>
      </c>
      <c r="DZ8" s="181" t="s">
        <v>4</v>
      </c>
      <c r="EA8" s="112" t="s">
        <v>4</v>
      </c>
      <c r="EB8" s="56" t="s">
        <v>4</v>
      </c>
      <c r="EC8" s="57" t="s">
        <v>51</v>
      </c>
      <c r="ED8" s="57" t="s">
        <v>51</v>
      </c>
      <c r="EE8" s="57" t="s">
        <v>51</v>
      </c>
      <c r="EF8" s="181" t="s">
        <v>4</v>
      </c>
      <c r="EG8" s="112" t="s">
        <v>4</v>
      </c>
      <c r="EH8" s="56" t="s">
        <v>4</v>
      </c>
      <c r="EI8" s="57" t="s">
        <v>51</v>
      </c>
      <c r="EJ8" s="57" t="s">
        <v>51</v>
      </c>
      <c r="EK8" s="57" t="s">
        <v>51</v>
      </c>
      <c r="EL8" s="181" t="s">
        <v>4</v>
      </c>
      <c r="EM8" s="112" t="s">
        <v>4</v>
      </c>
      <c r="EN8" s="38" t="s">
        <v>4</v>
      </c>
      <c r="EO8" s="39" t="s">
        <v>51</v>
      </c>
      <c r="EP8" s="39" t="s">
        <v>51</v>
      </c>
      <c r="EQ8" s="39" t="s">
        <v>51</v>
      </c>
      <c r="ER8" s="39" t="s">
        <v>4</v>
      </c>
      <c r="ES8" s="40" t="s">
        <v>4</v>
      </c>
      <c r="ET8" s="56" t="s">
        <v>4</v>
      </c>
      <c r="EU8" s="57" t="s">
        <v>51</v>
      </c>
      <c r="EV8" s="57" t="s">
        <v>51</v>
      </c>
      <c r="EW8" s="57" t="s">
        <v>51</v>
      </c>
      <c r="EX8" s="181" t="s">
        <v>4</v>
      </c>
      <c r="EY8" s="112" t="s">
        <v>4</v>
      </c>
      <c r="EZ8" s="56" t="s">
        <v>4</v>
      </c>
      <c r="FA8" s="57" t="s">
        <v>51</v>
      </c>
      <c r="FB8" s="57" t="s">
        <v>51</v>
      </c>
      <c r="FC8" s="57" t="s">
        <v>51</v>
      </c>
      <c r="FD8" s="181" t="s">
        <v>4</v>
      </c>
      <c r="FE8" s="112" t="s">
        <v>4</v>
      </c>
      <c r="FF8" s="56" t="s">
        <v>4</v>
      </c>
      <c r="FG8" s="57" t="s">
        <v>51</v>
      </c>
      <c r="FH8" s="57" t="s">
        <v>51</v>
      </c>
      <c r="FI8" s="57" t="s">
        <v>51</v>
      </c>
      <c r="FJ8" s="181" t="s">
        <v>4</v>
      </c>
      <c r="FK8" s="112" t="s">
        <v>4</v>
      </c>
      <c r="FL8" s="56" t="s">
        <v>4</v>
      </c>
      <c r="FM8" s="57" t="s">
        <v>51</v>
      </c>
      <c r="FN8" s="57" t="s">
        <v>51</v>
      </c>
      <c r="FO8" s="57" t="s">
        <v>51</v>
      </c>
      <c r="FP8" s="181" t="s">
        <v>4</v>
      </c>
      <c r="FQ8" s="112" t="s">
        <v>4</v>
      </c>
      <c r="FR8" s="56" t="s">
        <v>4</v>
      </c>
      <c r="FS8" s="57" t="s">
        <v>51</v>
      </c>
      <c r="FT8" s="57" t="s">
        <v>51</v>
      </c>
      <c r="FU8" s="57" t="s">
        <v>51</v>
      </c>
      <c r="FV8" s="181" t="s">
        <v>4</v>
      </c>
      <c r="FW8" s="112" t="s">
        <v>4</v>
      </c>
      <c r="FX8" s="56" t="s">
        <v>4</v>
      </c>
      <c r="FY8" s="57" t="s">
        <v>51</v>
      </c>
      <c r="FZ8" s="57" t="s">
        <v>51</v>
      </c>
      <c r="GA8" s="57" t="s">
        <v>51</v>
      </c>
      <c r="GB8" s="181" t="s">
        <v>4</v>
      </c>
      <c r="GC8" s="112" t="s">
        <v>4</v>
      </c>
      <c r="GD8" s="56" t="s">
        <v>4</v>
      </c>
      <c r="GE8" s="57" t="s">
        <v>51</v>
      </c>
      <c r="GF8" s="57" t="s">
        <v>51</v>
      </c>
      <c r="GG8" s="57" t="s">
        <v>51</v>
      </c>
      <c r="GH8" s="181" t="s">
        <v>4</v>
      </c>
      <c r="GI8" s="112" t="s">
        <v>4</v>
      </c>
      <c r="GJ8" s="178" t="s">
        <v>4</v>
      </c>
      <c r="GK8" s="177" t="s">
        <v>4</v>
      </c>
      <c r="GL8" s="260" t="s">
        <v>51</v>
      </c>
      <c r="GM8" s="253"/>
      <c r="GN8" s="253"/>
    </row>
    <row r="9" spans="1:197" s="26" customFormat="1" ht="63.75" thickBot="1" x14ac:dyDescent="0.3">
      <c r="A9" s="135" t="s">
        <v>174</v>
      </c>
      <c r="B9" s="161" t="s">
        <v>8</v>
      </c>
      <c r="C9" s="161" t="s">
        <v>8</v>
      </c>
      <c r="D9" s="161" t="s">
        <v>8</v>
      </c>
      <c r="E9" s="161" t="s">
        <v>8</v>
      </c>
      <c r="F9" s="161" t="s">
        <v>8</v>
      </c>
      <c r="G9" s="106">
        <f>'Исходные данные'!C11</f>
        <v>739</v>
      </c>
      <c r="H9" s="50">
        <f>'Исходные данные'!D11</f>
        <v>2832885</v>
      </c>
      <c r="I9" s="51">
        <f>'Расчет КРП'!E7</f>
        <v>3.8803392444101776</v>
      </c>
      <c r="J9" s="113" t="s">
        <v>8</v>
      </c>
      <c r="K9" s="164">
        <f t="shared" ref="K9:K21" si="104">((H9/G9)/($H$22/$G$22))/I9</f>
        <v>0.342944937377957</v>
      </c>
      <c r="L9" s="165">
        <f t="shared" ref="L9:L21" si="105">$D$22*G9/$G$22</f>
        <v>443201.83654398913</v>
      </c>
      <c r="M9" s="169">
        <f t="shared" ref="M9:M21" si="106">(((H9+L9)/G9)/$J$22)/I9</f>
        <v>0.39659830702740412</v>
      </c>
      <c r="N9" s="170" t="s">
        <v>8</v>
      </c>
      <c r="O9" s="171">
        <f t="shared" ref="O9:O21" si="107">$N$22-M9</f>
        <v>6.5120595122619251E-2</v>
      </c>
      <c r="P9" s="182">
        <f t="shared" ref="P9:P21" si="108">IF(O9&gt;0,G9*I9*(($H$22+$L$22)/$G$22)*O9,0)</f>
        <v>649919.13530738454</v>
      </c>
      <c r="Q9" s="172">
        <f t="shared" ref="Q9:Q21" si="109">IF(($F$22-P$22)&gt;0,P9,$F$22*P9/P$22)</f>
        <v>649919.13530738454</v>
      </c>
      <c r="R9" s="166" t="s">
        <v>8</v>
      </c>
      <c r="S9" s="49" t="s">
        <v>8</v>
      </c>
      <c r="T9" s="53">
        <f t="shared" ref="T9:T21" si="110">(((H9+L9+Q9)/G9)/$J$22)/I9</f>
        <v>0.47527657217361624</v>
      </c>
      <c r="U9" s="52">
        <f t="shared" ref="U9:U21" si="111">S$22-T9</f>
        <v>8.9789011455326639E-2</v>
      </c>
      <c r="V9" s="54">
        <f t="shared" ref="V9:V21" si="112">IF(U9&gt;0,$G9*$I9*(($H$22+$L$22+$Q$22)/$G$22)*U9,0)</f>
        <v>971715.79752446117</v>
      </c>
      <c r="W9" s="80">
        <f t="shared" ref="W9:W21" si="113">IF((R$22-V$22)&gt;0,V9,R$22*V9/V$22)</f>
        <v>971715.79752446117</v>
      </c>
      <c r="X9" s="76" t="s">
        <v>8</v>
      </c>
      <c r="Y9" s="49" t="s">
        <v>8</v>
      </c>
      <c r="Z9" s="53">
        <f t="shared" ref="Z9:Z21" si="114">(((H9+L9+Q9+W9)/G9)/$J$22)/I9</f>
        <v>0.59291107316154823</v>
      </c>
      <c r="AA9" s="52">
        <f t="shared" ref="AA9:AA21" si="115">Y$22-Z9</f>
        <v>4.5749604151011924E-2</v>
      </c>
      <c r="AB9" s="54">
        <f t="shared" ref="AB9:AB21" si="116">IF(AA9&gt;0,$G9*$I9*(($H$22+$L$22+$Q$22+$W$22)/$G$22)*AA9,0)</f>
        <v>528850.74139525322</v>
      </c>
      <c r="AC9" s="80">
        <f t="shared" ref="AC9:AC21" si="117">IF((X$22-AB$22)&gt;0,AB9,X$22*AB9/AB$22)</f>
        <v>528850.74139525322</v>
      </c>
      <c r="AD9" s="76" t="s">
        <v>8</v>
      </c>
      <c r="AE9" s="49" t="s">
        <v>8</v>
      </c>
      <c r="AF9" s="53">
        <f t="shared" ref="AF9:AF21" si="118">(((H9+L9+Q9+W9+AC9)/G9)/$J$22)/I9</f>
        <v>0.65693297464716494</v>
      </c>
      <c r="AG9" s="52">
        <f t="shared" ref="AG9:AG21" si="119">AE$22-AF9</f>
        <v>4.5625153174886135E-2</v>
      </c>
      <c r="AH9" s="54">
        <f t="shared" ref="AH9:AH21" si="120">IF(AG9&gt;0,$G9*$I9*(($H$22+$L$22+$Q$22+$W$22+$AC$22)/$G$22)*AG9,0)</f>
        <v>555184.42107368237</v>
      </c>
      <c r="AI9" s="80">
        <f t="shared" ref="AI9:AI21" si="121">IF((AD$22-AH$22)&gt;0,AH9,AD$22*AH9/AH$22)</f>
        <v>415071.87618152297</v>
      </c>
      <c r="AJ9" s="76" t="s">
        <v>8</v>
      </c>
      <c r="AK9" s="49" t="s">
        <v>8</v>
      </c>
      <c r="AL9" s="53">
        <f t="shared" ref="AL9:AL21" si="122">(((H9+L9+Q9+W9+AC9+AI9)/G9)/$J$22)/I9</f>
        <v>0.70718097221304699</v>
      </c>
      <c r="AM9" s="52">
        <f t="shared" ref="AM9:AM21" si="123">AK$22-AL9</f>
        <v>3.5611173283341957E-2</v>
      </c>
      <c r="AN9" s="54">
        <f t="shared" ref="AN9:AN21" si="124">IF(AM9&gt;0,$G9*$I9*(($H$22+$L$22+$Q$22+$W$22+$AC$22+$AI$22)/$G$22)*AM9,0)</f>
        <v>447272.7651074176</v>
      </c>
      <c r="AO9" s="80">
        <f t="shared" ref="AO9:AO21" si="125">IF((AJ$22-AN$22)&gt;0,AN9,AJ$22*AN9/AN$22)</f>
        <v>0</v>
      </c>
      <c r="AP9" s="76" t="s">
        <v>8</v>
      </c>
      <c r="AQ9" s="49" t="s">
        <v>8</v>
      </c>
      <c r="AR9" s="53">
        <f t="shared" ref="AR9:AR21" si="126">(((H9+L9+Q9+W9+AC9+AI9+AO9)/G9)/$J$22)/I9</f>
        <v>0.70718097221304699</v>
      </c>
      <c r="AS9" s="52">
        <f t="shared" ref="AS9:AS21" si="127">AQ$22-AR9</f>
        <v>3.5611173283341957E-2</v>
      </c>
      <c r="AT9" s="54">
        <f t="shared" ref="AT9:AT21" si="128">IF(AS9&gt;0,$G9*$I9*(($H$22+$L$22+$Q$22+$W$22+$AC$22+$AI$22+$AO$22)/$G$22)*AS9,0)</f>
        <v>447272.7651074176</v>
      </c>
      <c r="AU9" s="80">
        <f t="shared" ref="AU9:AU22" si="129">IF((AP$22-AT$22)&gt;0,AT9,AP$22*AT9/AT$22)</f>
        <v>0</v>
      </c>
      <c r="AV9" s="76" t="s">
        <v>8</v>
      </c>
      <c r="AW9" s="49" t="s">
        <v>8</v>
      </c>
      <c r="AX9" s="53">
        <f t="shared" ref="AX9:AX21" si="130">(((H9+L9+Q9+W9+AC9+AI9+AO9+AU9)/G9)/$J$22)/I9</f>
        <v>0.70718097221304699</v>
      </c>
      <c r="AY9" s="52">
        <f t="shared" ref="AY9:AY21" si="131">AW$22-AX9</f>
        <v>3.5611173283341957E-2</v>
      </c>
      <c r="AZ9" s="54">
        <f t="shared" ref="AZ9:AZ21" si="132">IF(AY9&gt;0,$G9*$I9*(($H$22+$L$22+$Q$22+$W$22+$AC$22+$AI$22+$AO$22+$AU$22)/$G$22)*AY9,0)</f>
        <v>447272.7651074176</v>
      </c>
      <c r="BA9" s="80">
        <f t="shared" ref="BA9:BA21" si="133">IF((AV$22-AZ$22)&gt;0,AZ9,AV$22*AZ9/AZ$22)</f>
        <v>0</v>
      </c>
      <c r="BB9" s="76" t="s">
        <v>8</v>
      </c>
      <c r="BC9" s="49" t="s">
        <v>8</v>
      </c>
      <c r="BD9" s="53">
        <f t="shared" ref="BD9:BD21" si="134">(((H9+L9+Q9+W9+AC9+AI9+AO9+AU9+BA9)/G9)/$J$22)/I9</f>
        <v>0.70718097221304699</v>
      </c>
      <c r="BE9" s="52">
        <f t="shared" ref="BE9:BE21" si="135">BC$22-BD9</f>
        <v>3.5611173283341957E-2</v>
      </c>
      <c r="BF9" s="54">
        <f t="shared" ref="BF9:BF21" si="136">IF(BE9&gt;0,$G9*$I9*(($H$22+$L$22+$Q$22+$W$22+$AC$22+$AI$22+$AO$22+$AU$22+$BA$22)/$G$22)*BE9,0)</f>
        <v>447272.7651074176</v>
      </c>
      <c r="BG9" s="80">
        <f t="shared" ref="BG9:BG21" si="137">IF((BB$22-BF$22)&gt;0,BF9,BB$22*BF9/BF$22)</f>
        <v>0</v>
      </c>
      <c r="BH9" s="76" t="s">
        <v>8</v>
      </c>
      <c r="BI9" s="49" t="s">
        <v>8</v>
      </c>
      <c r="BJ9" s="53">
        <f t="shared" ref="BJ9:BJ21" si="138">(((H9+L9+Q9+W9+AC9+AI9+AO9+AU9+BA9+BG9)/G9)/$J$22)/I9</f>
        <v>0.70718097221304699</v>
      </c>
      <c r="BK9" s="52">
        <f t="shared" ref="BK9:BK21" si="139">BI$22-BJ9</f>
        <v>3.5611173283341957E-2</v>
      </c>
      <c r="BL9" s="54">
        <f t="shared" ref="BL9:BL21" si="140">IF(BK9&gt;0,$G9*$I9*(($H$22+$L$22+$Q$22+$W$22+$AC$22+$AI$22+$AO$22+$AU$22+$BA$22+$BG$22)/$G$22)*BK9,0)</f>
        <v>447272.7651074176</v>
      </c>
      <c r="BM9" s="80">
        <f t="shared" ref="BM9:BM21" si="141">IF((BH$22-BL$22)&gt;0,BL9,BH$22*BL9/BL$22)</f>
        <v>0</v>
      </c>
      <c r="BN9" s="76" t="s">
        <v>8</v>
      </c>
      <c r="BO9" s="49" t="s">
        <v>8</v>
      </c>
      <c r="BP9" s="53">
        <f t="shared" ref="BP9:BP21" si="142">(((H9+L9+Q9+W9+AC9+AI9+AO9+AU9+BA9+BG9+BM9)/G9)/$J$22)/I9</f>
        <v>0.70718097221304699</v>
      </c>
      <c r="BQ9" s="52">
        <f t="shared" ref="BQ9:BQ21" si="143">BO$22-BP9</f>
        <v>3.5611173283341957E-2</v>
      </c>
      <c r="BR9" s="54">
        <f t="shared" ref="BR9:BR21" si="144">IF(BQ9&gt;0,$G9*$I9*(($H$22+$L$22+$Q$22+$W$22+$AC$22+$AI$22+$AO$22+$AU$22+$BA$22+$BG$22+$BM$22)/$G$22)*BQ9,0)</f>
        <v>447272.7651074176</v>
      </c>
      <c r="BS9" s="127">
        <f t="shared" ref="BS9:BS21" si="145">IF((BN$22-BR$22)&gt;0,BR9,BN$22*BR9/BR$22)</f>
        <v>0</v>
      </c>
      <c r="BT9" s="76" t="s">
        <v>8</v>
      </c>
      <c r="BU9" s="49" t="s">
        <v>8</v>
      </c>
      <c r="BV9" s="53">
        <f t="shared" ref="BV9:BV21" si="146">(((H9+L9+Q9+W9+AC9+AI9+AO9+AU9+BA9+BG9+BM9+BS9)/G9)/$J$22)/I9</f>
        <v>0.70718097221304699</v>
      </c>
      <c r="BW9" s="52">
        <f t="shared" ref="BW9:BW21" si="147">BU$22-BV9</f>
        <v>3.5611173283341957E-2</v>
      </c>
      <c r="BX9" s="54">
        <f t="shared" ref="BX9:BX21" si="148">IF(BW9&gt;0,$G9*$I9*(($H$22+$L$22+$Q$22+$W$22+$AC$22+$AI$22+$AO$22+$AU$22+$BA$22+$BG$22+$BM$22+$BS$22)/$G$22)*BW9,0)</f>
        <v>447272.7651074176</v>
      </c>
      <c r="BY9" s="127">
        <f t="shared" ref="BY9:BY21" si="149">IF((BT$22-BX$22)&gt;0,BX9,BT$22*BX9/BX$22)</f>
        <v>0</v>
      </c>
      <c r="BZ9" s="76" t="s">
        <v>8</v>
      </c>
      <c r="CA9" s="49" t="s">
        <v>8</v>
      </c>
      <c r="CB9" s="53">
        <f t="shared" ref="CB9:CB21" si="150">(((H9+L9+Q9+W9+AC9+AI9+AO9+AU9+BA9+BG9+BM9+BS9+BY9)/G9)/$J$22)/I9</f>
        <v>0.70718097221304699</v>
      </c>
      <c r="CC9" s="52">
        <f t="shared" ref="CC9:CC21" si="151">CA$22-CB9</f>
        <v>3.5611173283341957E-2</v>
      </c>
      <c r="CD9" s="54">
        <f t="shared" ref="CD9:CD21" si="152">IF(CC9&gt;0,$G9*$I9*(($H$22+$L$22+$Q$22+$W$22+$AC$22+$AI$22+$AO$22+$AU$22+$BA$22+$BG$22+$BM$22+$BS$22+$BY$22)/$G$22)*CC9,0)</f>
        <v>447272.7651074176</v>
      </c>
      <c r="CE9" s="127">
        <f t="shared" ref="CE9:CE21" si="153">IF((BZ$22-CD$22)&gt;0,CD9,BZ$22*CD9/CD$22)</f>
        <v>0</v>
      </c>
      <c r="CF9" s="76" t="s">
        <v>8</v>
      </c>
      <c r="CG9" s="49" t="s">
        <v>8</v>
      </c>
      <c r="CH9" s="53">
        <f t="shared" ref="CH9:CH21" si="154">(((H9+L9+Q9+W9+AC9+AI9+AO9+AU9+BA9+BG9+BM9+BS9+BY9+CE9)/G9)/$J$22)/I9</f>
        <v>0.70718097221304699</v>
      </c>
      <c r="CI9" s="52">
        <f t="shared" ref="CI9:CI21" si="155">CG$22-CH9</f>
        <v>3.5611173283341957E-2</v>
      </c>
      <c r="CJ9" s="54">
        <f t="shared" ref="CJ9:CJ21" si="156">IF(CI9&gt;0,$G9*$I9*(($H$22+$L$22+$Q$22+$W$22+$AC$22+$AI$22+$AO$22+$AU$22+$BA$22+$BG$22+$BM$22+$BS$22+$BY$22+$CE$22)/$G$22)*CI9,0)</f>
        <v>447272.7651074176</v>
      </c>
      <c r="CK9" s="127">
        <f t="shared" ref="CK9:CK21" si="157">IF((CF$22-CJ$22)&gt;0,CJ9,CF$22*CJ9/CJ$22)</f>
        <v>0</v>
      </c>
      <c r="CL9" s="76" t="s">
        <v>8</v>
      </c>
      <c r="CM9" s="49" t="s">
        <v>8</v>
      </c>
      <c r="CN9" s="53">
        <f t="shared" ref="CN9:CN21" si="158">(((H9+L9+Q9+W9+AC9+AI9+AO9+AU9+BA9+BG9+BM9+BS9+BY9+CE9+CK9)/G9)/$J$22)/I9</f>
        <v>0.70718097221304699</v>
      </c>
      <c r="CO9" s="52">
        <f t="shared" ref="CO9:CO21" si="159">CM$22-CN9</f>
        <v>3.5611173283341957E-2</v>
      </c>
      <c r="CP9" s="54">
        <f t="shared" ref="CP9:CP21" si="160">IF(CO9&gt;0,$G9*$I9*(($H$22+$L$22+$Q$22+$W$22+$AC$22+$AI$22+$AO$22+$AU$22+$BA$22+$BG$22+$BM$22+$BS$22+$BY$22+$CE$22+$CK$22)/$G$22)*CO9,0)</f>
        <v>447272.7651074176</v>
      </c>
      <c r="CQ9" s="127">
        <f t="shared" ref="CQ9:CQ21" si="161">IF((CL$22-CP$22)&gt;0,CP9,CL$22*CP9/CP$22)</f>
        <v>0</v>
      </c>
      <c r="CR9" s="76" t="s">
        <v>8</v>
      </c>
      <c r="CS9" s="49" t="s">
        <v>8</v>
      </c>
      <c r="CT9" s="53">
        <f t="shared" ref="CT9:CT21" si="162">(((H9+L9+Q9+W9+AC9+AI9+AO9+AU9+BA9+BG9+BM9+BS9+BY9+CE9+CK9+CQ9)/G9)/$J$22)/I9</f>
        <v>0.70718097221304699</v>
      </c>
      <c r="CU9" s="52">
        <f t="shared" ref="CU9:CU21" si="163">CS$22-CT9</f>
        <v>3.5611173283341957E-2</v>
      </c>
      <c r="CV9" s="54">
        <f t="shared" ref="CV9:CV21" si="164">IF(CU9&gt;0,$G9*$I9*(($H$22+$L$22+$Q$22+$W$22+$AC$22+$AI$22+$AO$22+$AU$22+$BA$22+$BG$22+$BM$22+$BS$22+$BY$22+$CE$22+$CK$22+$CQ$22)/$G$22)*CU9,0)</f>
        <v>447272.7651074176</v>
      </c>
      <c r="CW9" s="127">
        <f t="shared" ref="CW9:CW21" si="165">IF((CR$22-CV$22)&gt;0,CV9,CR$22*CV9/CV$22)</f>
        <v>0</v>
      </c>
      <c r="CX9" s="76" t="s">
        <v>8</v>
      </c>
      <c r="CY9" s="49" t="s">
        <v>8</v>
      </c>
      <c r="CZ9" s="53">
        <f t="shared" ref="CZ9:CZ21" si="166">(((H9+L9+Q9+W9+AC9+AI9+AO9+AU9+BA9+BG9+BM9+BS9+BY9+CE9+CK9+CQ9+CW9)/G9)/$J$22)/I9</f>
        <v>0.70718097221304699</v>
      </c>
      <c r="DA9" s="52">
        <f t="shared" ref="DA9:DA21" si="167">CY$22-CZ9</f>
        <v>3.5611173283341957E-2</v>
      </c>
      <c r="DB9" s="54">
        <f t="shared" ref="DB9:DB21" si="168">IF(DA9&gt;0,$G9*$I9*(($H$22+$L$22+$Q$22+$W$22+$AC$22+$AI$22+$AO$22+$AU$22+$BA$22+$BG$22+$BM$22+$BS$22+$BY$22+$CE$22+$CK$22+$CQ$22+$CW$22)/$G$22)*DA9,0)</f>
        <v>447272.7651074176</v>
      </c>
      <c r="DC9" s="127">
        <f t="shared" ref="DC9:DC21" si="169">IF((CX$22-DB$22)&gt;0,DB9,CX$22*DB9/DB$22)</f>
        <v>0</v>
      </c>
      <c r="DD9" s="76" t="s">
        <v>8</v>
      </c>
      <c r="DE9" s="49" t="s">
        <v>8</v>
      </c>
      <c r="DF9" s="53">
        <f t="shared" ref="DF9:DF21" si="170">(((H9+L9+Q9+W9+AC9+AI9+AO9+AU9+BA9+BG9+BM9+BS9+BY9+CE9+CK9+CQ9+CW9+DC9)/G9)/$J$22)/I9</f>
        <v>0.70718097221304699</v>
      </c>
      <c r="DG9" s="52">
        <f t="shared" ref="DG9:DG21" si="171">DE$22-DF9</f>
        <v>3.5611173283341957E-2</v>
      </c>
      <c r="DH9" s="54">
        <f t="shared" ref="DH9:DH21" si="172">IF(DG9&gt;0,$G9*$I9*(($H$22+$L$22+$Q$22+$W$22+$AC$22+$AI$22+$AO$22+$AU$22+$BA$22+$BG$22+$BM$22+$BS$22+$BY$22+$CE$22+$CK$22+$CQ$22+$CW$22+$DC$22)/$G$22)*DG9,0)</f>
        <v>447272.7651074176</v>
      </c>
      <c r="DI9" s="127">
        <f t="shared" ref="DI9:DI21" si="173">IF((DD$22-DH$22)&gt;0,DH9,DD$22*DH9/DH$22)</f>
        <v>0</v>
      </c>
      <c r="DJ9" s="76" t="s">
        <v>8</v>
      </c>
      <c r="DK9" s="49" t="s">
        <v>8</v>
      </c>
      <c r="DL9" s="53">
        <f t="shared" ref="DL9:DL21" si="174">(((H9+L9+Q9+W9+AC9+AI9+AO9+AU9+BA9+BG9+BM9+BS9+BY9+CE9+CK9+CQ9+CW9+DC9+DI9)/G9)/$J$22)/I9</f>
        <v>0.70718097221304699</v>
      </c>
      <c r="DM9" s="52">
        <f t="shared" ref="DM9:DM21" si="175">DK$22-DL9</f>
        <v>3.5611173283341957E-2</v>
      </c>
      <c r="DN9" s="54">
        <f t="shared" ref="DN9:DN21" si="176">IF(DM9&gt;0,$G9*$I9*(($H$22+$L$22+$Q$22+$W$22+$AC$22+$AI$22+$AO$22+$AU$22+$BA$22+$BG$22+$BM$22+$BS$22+$BY$22+$CE$22+$CK$22+$CQ$22+$CW$22+$DC$22+$DI$22)/$G$22)*DM9,0)</f>
        <v>447272.7651074176</v>
      </c>
      <c r="DO9" s="127">
        <f t="shared" ref="DO9:DO21" si="177">IF((DJ$22-DN$22)&gt;0,DN9,DJ$22*DN9/DN$22)</f>
        <v>0</v>
      </c>
      <c r="DP9" s="76" t="s">
        <v>8</v>
      </c>
      <c r="DQ9" s="49" t="s">
        <v>8</v>
      </c>
      <c r="DR9" s="53">
        <f t="shared" ref="DR9:DR21" si="178">(((H9+L9+Q9+W9+AC9+AI9+AO9+AU9+BA9+BG9+BM9+BS9+BY9+CE9+CK9+CQ9+CW9+DC9+DI9+DO9)/G9)/$J$22)/I9</f>
        <v>0.70718097221304699</v>
      </c>
      <c r="DS9" s="52">
        <f t="shared" ref="DS9:DS21" si="179">DQ$22-DR9</f>
        <v>3.5611173283341957E-2</v>
      </c>
      <c r="DT9" s="54">
        <f t="shared" ref="DT9:DT21" si="180">IF(DS9&gt;0,$G9*$I9*(($H$22+$L$22+$Q$22+$W$22+$AC$22+$AI$22+$AO$22+$AU$22+$BA$22+$BG$22+$BM$22+$BS$22+$BY$22+$CE$22+$CK$22+$CQ$22+$CW$22+$DC$22+$DI$22+$DO$22)/$G$22)*DS9,0)</f>
        <v>447272.7651074176</v>
      </c>
      <c r="DU9" s="127">
        <f t="shared" ref="DU9:DU21" si="181">IF((DP$22-DT$22)&gt;0,DT9,DP$22*DT9/DT$22)</f>
        <v>0</v>
      </c>
      <c r="DV9" s="179" t="s">
        <v>8</v>
      </c>
      <c r="DW9" s="170" t="s">
        <v>8</v>
      </c>
      <c r="DX9" s="183">
        <f t="shared" ref="DX9:DX21" si="182">((($H9+$L9+$Q9+$W9+$AC9+$AI9+$AO9+$AU9+$BA9+$BG9+$BM9+$BS9+$BY9+$CE9+$CK9+$CQ9+$CW9+$DC9+$DI9+$DO9+$DU9)/$G9)/$J$22)/$I9</f>
        <v>0.70718097221304699</v>
      </c>
      <c r="DY9" s="171">
        <f t="shared" ref="DY9:DY21" si="183">DW$22-DX9</f>
        <v>3.5611173283341957E-2</v>
      </c>
      <c r="DZ9" s="35">
        <f t="shared" ref="DZ9:DZ21" si="184">IF(DY9&gt;0,$G9*$I9*(($H$22+$L$22+$Q$22+$W$22+$AC$22+$AI$22+$AO$22+$AU$22+$BA$22+$BG$22+$BM$22+$BS$22+$BY$22+$CE$22+$CK$22+$CQ$22+$CW$22+$DC$22+$DI$22+$DO$22+$DU$22)/$G$22)*DY9,0)</f>
        <v>447272.7651074176</v>
      </c>
      <c r="EA9" s="172">
        <f t="shared" ref="EA9:EA21" si="185">IF((DV$22-DZ$22)&gt;0,DZ9,DV$22*DZ9/DZ$22)</f>
        <v>0</v>
      </c>
      <c r="EB9" s="179" t="s">
        <v>8</v>
      </c>
      <c r="EC9" s="170" t="s">
        <v>8</v>
      </c>
      <c r="ED9" s="183">
        <f t="shared" ref="ED9:ED21" si="186">((($H9+$L9+$Q9+$W9+$AC9+$AI9+$AO9+$AU9+$BA9+$BG9+$BM9+$BS9+$BY9+$CE9+$CK9+$CQ9+$CW9+$DC9+$DI9+$DO9+$DU9+$EA9)/$G9)/$J$22)/$I9</f>
        <v>0.70718097221304699</v>
      </c>
      <c r="EE9" s="171">
        <f t="shared" ref="EE9:EE21" si="187">EC$22-ED9</f>
        <v>3.5611173283341957E-2</v>
      </c>
      <c r="EF9" s="35">
        <f t="shared" ref="EF9:EF21" si="188">IF(EE9&gt;0,$G9*$I9*(($H$22+$L$22+$Q$22+$W$22+$AC$22+$AI$22+$AO$22+$AU$22+$BA$22+$BG$22+$BM$22+$BS$22+$BY$22+$CE$22+$CK$22+$CQ$22+$CW$22+$DC$22+$DI$22+$DO$22+$DU$22+$EA$22)/$G$22)*EE9,0)</f>
        <v>447272.7651074176</v>
      </c>
      <c r="EG9" s="172">
        <f t="shared" ref="EG9:EG21" si="189">IF((EB$22-EF$22)&gt;0,EF9,EB$22*EF9/EF$22)</f>
        <v>0</v>
      </c>
      <c r="EH9" s="179" t="s">
        <v>8</v>
      </c>
      <c r="EI9" s="170" t="s">
        <v>8</v>
      </c>
      <c r="EJ9" s="183">
        <f t="shared" ref="EJ9:EJ21" si="190">((($H9+$L9+$Q9+$W9+$AC9+$AI9+$AO9+$AU9+$BA9+$BG9+$BM9+$BS9+$BY9+$CE9+$CK9+$CQ9+$CW9+$DC9+$DI9+$DO9+$DU9+$EA9+$EG9)/$G9)/$J$22)/$I9</f>
        <v>0.70718097221304699</v>
      </c>
      <c r="EK9" s="171">
        <f t="shared" ref="EK9:EK21" si="191">EI$22-EJ9</f>
        <v>3.5611173283341957E-2</v>
      </c>
      <c r="EL9" s="35">
        <f t="shared" ref="EL9:EL21" si="192">IF(EK9&gt;0,$G9*$I9*(($H$22+$L$22+$Q$22+$W$22+$AC$22+$AI$22+$AO$22+$AU$22+$BA$22+$BG$22+$BM$22+$BS$22+$BY$22+$CE$22+$CK$22+$CQ$22+$CW$22+$DC$22+$DI$22+$DO$22+$DU$22+$EA$22+$EG$22)/$G$22)*EK9,0)</f>
        <v>447272.7651074176</v>
      </c>
      <c r="EM9" s="172">
        <f t="shared" ref="EM9:EM21" si="193">IF((EH$22-EL$22)&gt;0,EL9,EH$22*EL9/EL$22)</f>
        <v>0</v>
      </c>
      <c r="EN9" s="76" t="s">
        <v>8</v>
      </c>
      <c r="EO9" s="49" t="s">
        <v>8</v>
      </c>
      <c r="EP9" s="184">
        <f t="shared" ref="EP9:EP21" si="194">((($H9+$L9+$Q9+$W9+$AC9+$AI9+$AO9+$AU9+$BA9+$BG9+$BM9+$BS9+$BY9+$CE9+$CK9+$CQ9+$CW9+$DC9+$DI9+$DO9+$DU9+$EA9+$EG9+$EM9)/$G9)/$J$22)/$I9</f>
        <v>0.70718097221304699</v>
      </c>
      <c r="EQ9" s="52">
        <f t="shared" ref="EQ9:EQ21" si="195">EO$22-EP9</f>
        <v>3.5611173283341957E-2</v>
      </c>
      <c r="ER9" s="54">
        <f t="shared" ref="ER9:ER21" si="196">IF(EQ9&gt;0,$G9*$I9*(($H$22+$L$22+$Q$22+$W$22+$AC$22+$AI$22+$AO$22+$AU$22+$BA$22+$BG$22+$BM$22+$BS$22+$BY$22+$CE$22+$CK$22+$CQ$22+$CW$22+$DC$22+$DI$22+$DO$22+$DU$22+$EA$22+$EG$22+$EM$22)/$G$22)*EQ9,0)</f>
        <v>447272.7651074176</v>
      </c>
      <c r="ES9" s="80">
        <f t="shared" ref="ES9:ES21" si="197">IF((EN$22-ER$22)&gt;0,ER9,EN$22*ER9/ER$22)</f>
        <v>0</v>
      </c>
      <c r="ET9" s="179" t="s">
        <v>8</v>
      </c>
      <c r="EU9" s="170" t="s">
        <v>8</v>
      </c>
      <c r="EV9" s="183">
        <f t="shared" ref="EV9:EV21" si="198">((($H9+$L9+$Q9+$W9+$AC9+$AI9+$AO9+$AU9+$BA9+$BG9+$BM9+$BS9+$BY9+$CE9+$CK9+$CQ9+$CW9+$DC9+$DI9+$DO9+$DU9+$EA9+$EG9+$EM9+$ES9)/$G9)/$J$22)/$I9</f>
        <v>0.70718097221304699</v>
      </c>
      <c r="EW9" s="171">
        <f t="shared" ref="EW9:EW21" si="199">EU$22-EV9</f>
        <v>3.5611173283341957E-2</v>
      </c>
      <c r="EX9" s="35">
        <f t="shared" ref="EX9:EX21" si="200">IF(EW9&gt;0,$G9*$I9*(($H$22+$L$22+$Q$22+$W$22+$AC$22+$AI$22+$AO$22+$AU$22+$BA$22+$BG$22+$BM$22+$BS$22+$BY$22+$CE$22+$CK$22+$CQ$22+$CW$22+$DC$22+$DI$22+$DO$22+$DU$22+$EA$22+$EG$22+$EM$22+$ES$22)/$G$22)*EW9,0)</f>
        <v>447272.7651074176</v>
      </c>
      <c r="EY9" s="172">
        <f t="shared" ref="EY9:EY21" si="201">IF((ET$22-EX$22)&gt;0,EX9,ET$22*EX9/EX$22)</f>
        <v>0</v>
      </c>
      <c r="EZ9" s="179" t="s">
        <v>8</v>
      </c>
      <c r="FA9" s="170" t="s">
        <v>8</v>
      </c>
      <c r="FB9" s="183">
        <f t="shared" ref="FB9:FB21" si="202">((($H9+$L9+$Q9+$W9+$AC9+$AI9+$AO9+$AU9+$BA9+$BG9+$BM9+$BS9+$BY9+$CE9+$CK9+$CQ9+$CW9+$DC9+$DI9+$DO9+$DU9+$EA9+$EG9+$EM9+$ES9+$EY9)/$G9)/$J$22)/$I9</f>
        <v>0.70718097221304699</v>
      </c>
      <c r="FC9" s="171">
        <f t="shared" ref="FC9:FC21" si="203">FA$22-FB9</f>
        <v>3.5611173283341957E-2</v>
      </c>
      <c r="FD9" s="35">
        <f t="shared" ref="FD9:FD21" si="204">IF(FC9&gt;0,$G9*$I9*(($H$22+$L$22+$Q$22+$W$22+$AC$22+$AI$22+$AO$22+$AU$22+$BA$22+$BG$22+$BM$22+$BS$22+$BY$22+$CE$22+$CK$22+$CQ$22+$CW$22+$DC$22+$DI$22+$DO$22+$DU$22+$EA$22+$EG$22+$EM$22+$ES$22+$EY$22)/$G$22)*FC9,0)</f>
        <v>447272.7651074176</v>
      </c>
      <c r="FE9" s="172">
        <f t="shared" ref="FE9:FE21" si="205">IF((EZ$22-FD$22)&gt;0,FD9,EZ$22*FD9/FD$22)</f>
        <v>0</v>
      </c>
      <c r="FF9" s="179" t="s">
        <v>8</v>
      </c>
      <c r="FG9" s="170" t="s">
        <v>8</v>
      </c>
      <c r="FH9" s="183">
        <f t="shared" ref="FH9:FH21" si="206">((($H9+$L9+$Q9+$W9+$AC9+$AI9+$AO9+$AU9+$BA9+$BG9+$BM9+$BS9+$BY9+$CE9+$CK9+$CQ9+$CW9+$DC9+$DI9+$DO9+$DU9+$EA9+$EG9+$EM9+$ES9+$EY9+$FE9)/$G9)/$J$22)/$I9</f>
        <v>0.70718097221304699</v>
      </c>
      <c r="FI9" s="171">
        <f t="shared" ref="FI9:FI21" si="207">FG$22-FH9</f>
        <v>3.5611173283341957E-2</v>
      </c>
      <c r="FJ9" s="35">
        <f t="shared" ref="FJ9:FJ21" si="208">IF(FI9&gt;0,$G9*$I9*(($H$22+$L$22+$Q$22+$W$22+$AC$22+$AI$22+$AO$22+$AU$22+$BA$22+$BG$22+$BM$22+$BS$22+$BY$22+$CE$22+$CK$22+$CQ$22+$CW$22+$DC$22+$DI$22+$DO$22+$DU$22+$EA$22+$EG$22+$EM$22+$ES$22+$EY$22+$FE$22)/$G$22)*FI9,0)</f>
        <v>447272.7651074176</v>
      </c>
      <c r="FK9" s="172">
        <f t="shared" ref="FK9:FK21" si="209">IF((FF$22-FJ$22)&gt;0,FJ9,FF$22*FJ9/FJ$22)</f>
        <v>0</v>
      </c>
      <c r="FL9" s="179" t="s">
        <v>8</v>
      </c>
      <c r="FM9" s="170" t="s">
        <v>8</v>
      </c>
      <c r="FN9" s="183">
        <f t="shared" ref="FN9:FN21" si="210">((($H9+$L9+$Q9+$W9+$AC9+$AI9+$AO9+$AU9+$BA9+$BG9+$BM9+$BS9+$BY9+$CE9+$CK9+$CQ9+$CW9+$DC9+$DI9+$DO9+$DU9+$EA9+$EG9+$EM9+$ES9+$EY9+$FE9+$FK9)/$G9)/$J$22)/$I9</f>
        <v>0.70718097221304699</v>
      </c>
      <c r="FO9" s="171">
        <f t="shared" ref="FO9:FO21" si="211">FM$22-FN9</f>
        <v>3.5611173283341957E-2</v>
      </c>
      <c r="FP9" s="35">
        <f t="shared" ref="FP9:FP21" si="212">IF(FO9&gt;0,$G9*$I9*(($H$22+$L$22+$Q$22+$W$22+$AC$22+$AI$22+$AO$22+$AU$22+$BA$22+$BG$22+$BM$22+$BS$22+$BY$22+$CE$22+$CK$22+$CQ$22+$CW$22+$DC$22+$DI$22+$DO$22+$DU$22+$EA$22+$EG$22+$EM$22+$ES$22+$EY$22+$FE$22+$FK$22)/$G$22)*FO9,0)</f>
        <v>447272.7651074176</v>
      </c>
      <c r="FQ9" s="172">
        <f t="shared" ref="FQ9:FQ21" si="213">IF((FL$22-FP$22)&gt;0,FP9,FL$22*FP9/FP$22)</f>
        <v>0</v>
      </c>
      <c r="FR9" s="179" t="s">
        <v>8</v>
      </c>
      <c r="FS9" s="170" t="s">
        <v>8</v>
      </c>
      <c r="FT9" s="183">
        <f t="shared" ref="FT9:FT21" si="214">((($H9+$L9+$Q9+$W9+$AC9+$AI9+$AO9+$AU9+$BA9+$BG9+$BM9+$BS9+$BY9+$CE9+$CK9+$CQ9+$CW9+$DC9+$DI9+$DO9+$DU9+$EA9+$EG9+$EM9+$ES9+$EY9+$FE9+$FK9+$FQ9)/$G9)/$J$22)/$I9</f>
        <v>0.70718097221304699</v>
      </c>
      <c r="FU9" s="171">
        <f t="shared" ref="FU9:FU21" si="215">FS$22-FT9</f>
        <v>3.5611173283341957E-2</v>
      </c>
      <c r="FV9" s="35">
        <f t="shared" ref="FV9:FV21" si="216">IF(FU9&gt;0,$G9*$I9*(($H$22+$L$22+$Q$22+$W$22+$AC$22+$AI$22+$AO$22+$AU$22+$BA$22+$BG$22+$BM$22+$BS$22+$BY$22+$CE$22+$CK$22+$CQ$22+$CW$22+$DC$22+$DI$22+$DO$22+$DU$22+$EA$22+$EG$22+$EM$22+$ES$22+$EY$22+$FE$22+$FK$22+$FQ$22)/$G$22)*FU9,0)</f>
        <v>447272.7651074176</v>
      </c>
      <c r="FW9" s="172">
        <f t="shared" ref="FW9:FW21" si="217">IF((FR$22-FV$22)&gt;0,FV9,FR$22*FV9/FV$22)</f>
        <v>0</v>
      </c>
      <c r="FX9" s="179" t="s">
        <v>8</v>
      </c>
      <c r="FY9" s="170" t="s">
        <v>8</v>
      </c>
      <c r="FZ9" s="183">
        <f t="shared" ref="FZ9:FZ21" si="218">((($H9+$L9+$Q9+$W9+$AC9+$AI9+$AO9+$AU9+$BA9+$BG9+$BM9+$BS9+$BY9+$CE9+$CK9+$CQ9+$CW9+$DC9+$DI9+$DO9+$DU9+$EA9+$EG9+$EM9+$ES9+$EY9+$FE9+$FK9+$FQ9+$FW9)/$G9)/$J$22)/$I9</f>
        <v>0.70718097221304699</v>
      </c>
      <c r="GA9" s="171">
        <f t="shared" ref="GA9:GA21" si="219">FY$22-FZ9</f>
        <v>3.5611173283341957E-2</v>
      </c>
      <c r="GB9" s="35">
        <f t="shared" ref="GB9:GB21" si="220">IF(GA9&gt;0,$G9*$I9*(($H$22+$L$22+$Q$22+$W$22+$AC$22+$AI$22+$AO$22+$AU$22+$BA$22+$BG$22+$BM$22+$BS$22+$BY$22+$CE$22+$CK$22+$CQ$22+$CW$22+$DC$22+$DI$22+$DO$22+$DU$22+$EA$22+$EG$22+$EM$22+$ES$22+$EY$22+$FE$22+$FK$22+$FQ$22+$FW$22)/$G$22)*GA9,0)</f>
        <v>447272.7651074176</v>
      </c>
      <c r="GC9" s="172">
        <f t="shared" ref="GC9:GC21" si="221">IF((FX$22-GB$22)&gt;0,GB9,FX$22*GB9/GB$22)</f>
        <v>0</v>
      </c>
      <c r="GD9" s="179" t="s">
        <v>8</v>
      </c>
      <c r="GE9" s="170" t="s">
        <v>8</v>
      </c>
      <c r="GF9" s="183">
        <f t="shared" ref="GF9:GF21" si="222">((($H9+$L9+$Q9+$W9+$AC9+$AI9+$AO9+$AU9+$BA9+$BG9+$BM9+$BS9+$BY9+$CE9+$CK9+$CQ9+$CW9+$DC9+$DI9+$DO9+$DU9+$EA9+$EG9+$EM9+$ES9+$EY9+$FE9+$FK9+$FQ9+$FW9+$GC9)/$G9)/$J$22)/$I9</f>
        <v>0.70718097221304699</v>
      </c>
      <c r="GG9" s="171">
        <f t="shared" ref="GG9:GG21" si="223">GE$22-GF9</f>
        <v>3.5611173283341957E-2</v>
      </c>
      <c r="GH9" s="35">
        <f t="shared" ref="GH9:GH21" si="224">IF(GG9&gt;0,$G9*$I9*(($H$22+$L$22+$Q$22+$W$22+$AC$22+$AI$22+$AO$22+$AU$22+$BA$22+$BG$22+$BM$22+$BS$22+$BY$22+$CE$22+$CK$22+$CQ$22+$CW$22+$DC$22+$DI$22+$DO$22+$DU$22+$EA$22+$EG$22+$EM$22+$ES$22+$EY$22+$FE$22+$FK$22+$FQ$22+$FW$22+$GC$22)/$G$22)*GG9,0)</f>
        <v>447272.7651074176</v>
      </c>
      <c r="GI9" s="186">
        <f t="shared" ref="GI9:GI21" si="225">IF((GD$22-GH$22)&gt;0,GH9,GD$22*GH9/GH$22)</f>
        <v>0</v>
      </c>
      <c r="GJ9" s="185">
        <f>Q9+W9+AC9+AI9+AO9+AU9+BA9+BG9+BM9+BS9+BY9+CE9+CK9+CQ9+CW9+DC9+DI9+DO9</f>
        <v>2565557.5504086218</v>
      </c>
      <c r="GK9" s="173">
        <f>L9+GJ9</f>
        <v>3008759.3869526107</v>
      </c>
      <c r="GL9" s="261">
        <f t="shared" ref="GL9:GL21" si="226">K9+GK9/($H$22/$G$22)/G9/I9</f>
        <v>0.70718097221304688</v>
      </c>
      <c r="GM9" s="254"/>
      <c r="GN9" s="254"/>
      <c r="GO9" s="191"/>
    </row>
    <row r="10" spans="1:197" s="26" customFormat="1" ht="63.75" thickBot="1" x14ac:dyDescent="0.3">
      <c r="A10" s="122" t="s">
        <v>175</v>
      </c>
      <c r="B10" s="162" t="s">
        <v>8</v>
      </c>
      <c r="C10" s="162" t="s">
        <v>8</v>
      </c>
      <c r="D10" s="162" t="s">
        <v>8</v>
      </c>
      <c r="E10" s="162" t="s">
        <v>8</v>
      </c>
      <c r="F10" s="162" t="s">
        <v>8</v>
      </c>
      <c r="G10" s="107">
        <f>'Исходные данные'!C12</f>
        <v>2414</v>
      </c>
      <c r="H10" s="32">
        <f>'Исходные данные'!D12</f>
        <v>4437228</v>
      </c>
      <c r="I10" s="33">
        <f>'Расчет КРП'!E8</f>
        <v>2</v>
      </c>
      <c r="J10" s="114" t="s">
        <v>8</v>
      </c>
      <c r="K10" s="118">
        <f t="shared" si="104"/>
        <v>0.31904656204546183</v>
      </c>
      <c r="L10" s="78">
        <f t="shared" si="105"/>
        <v>1447752.6839204193</v>
      </c>
      <c r="M10" s="74">
        <f t="shared" si="106"/>
        <v>0.42314319996825955</v>
      </c>
      <c r="N10" s="31" t="s">
        <v>8</v>
      </c>
      <c r="O10" s="34">
        <f t="shared" si="107"/>
        <v>3.8575702181763816E-2</v>
      </c>
      <c r="P10" s="182">
        <f t="shared" si="108"/>
        <v>648198.36339465028</v>
      </c>
      <c r="Q10" s="172">
        <f t="shared" si="109"/>
        <v>648198.36339465028</v>
      </c>
      <c r="R10" s="167" t="s">
        <v>8</v>
      </c>
      <c r="S10" s="31" t="s">
        <v>8</v>
      </c>
      <c r="T10" s="36">
        <f t="shared" si="110"/>
        <v>0.46975010395528888</v>
      </c>
      <c r="U10" s="34">
        <f t="shared" si="111"/>
        <v>9.5315479673654002E-2</v>
      </c>
      <c r="V10" s="54">
        <f t="shared" si="112"/>
        <v>1736731.3258600039</v>
      </c>
      <c r="W10" s="81">
        <f t="shared" si="113"/>
        <v>1736731.3258600039</v>
      </c>
      <c r="X10" s="77" t="s">
        <v>8</v>
      </c>
      <c r="Y10" s="31" t="s">
        <v>8</v>
      </c>
      <c r="Z10" s="36">
        <f t="shared" si="114"/>
        <v>0.59462494895137452</v>
      </c>
      <c r="AA10" s="34">
        <f t="shared" si="115"/>
        <v>4.4035728361185633E-2</v>
      </c>
      <c r="AB10" s="54">
        <f t="shared" si="116"/>
        <v>857045.91224995593</v>
      </c>
      <c r="AC10" s="81">
        <f t="shared" si="117"/>
        <v>857045.91224995593</v>
      </c>
      <c r="AD10" s="77" t="s">
        <v>8</v>
      </c>
      <c r="AE10" s="31" t="s">
        <v>8</v>
      </c>
      <c r="AF10" s="36">
        <f t="shared" si="118"/>
        <v>0.65624845619924754</v>
      </c>
      <c r="AG10" s="34">
        <f t="shared" si="119"/>
        <v>4.6309671622803528E-2</v>
      </c>
      <c r="AH10" s="54">
        <f t="shared" si="120"/>
        <v>948763.05285689386</v>
      </c>
      <c r="AI10" s="81">
        <f t="shared" si="121"/>
        <v>709322.60606202378</v>
      </c>
      <c r="AJ10" s="77" t="s">
        <v>8</v>
      </c>
      <c r="AK10" s="31" t="s">
        <v>8</v>
      </c>
      <c r="AL10" s="36">
        <f t="shared" si="122"/>
        <v>0.70725032918058084</v>
      </c>
      <c r="AM10" s="34">
        <f t="shared" si="123"/>
        <v>3.5541816315808106E-2</v>
      </c>
      <c r="AN10" s="54">
        <f t="shared" si="124"/>
        <v>751586.40656576212</v>
      </c>
      <c r="AO10" s="81">
        <f t="shared" si="125"/>
        <v>0</v>
      </c>
      <c r="AP10" s="77" t="s">
        <v>8</v>
      </c>
      <c r="AQ10" s="31" t="s">
        <v>8</v>
      </c>
      <c r="AR10" s="36">
        <f t="shared" si="126"/>
        <v>0.70725032918058084</v>
      </c>
      <c r="AS10" s="34">
        <f t="shared" si="127"/>
        <v>3.5541816315808106E-2</v>
      </c>
      <c r="AT10" s="54">
        <f t="shared" si="128"/>
        <v>751586.40656576212</v>
      </c>
      <c r="AU10" s="80">
        <f t="shared" si="129"/>
        <v>0</v>
      </c>
      <c r="AV10" s="77" t="s">
        <v>8</v>
      </c>
      <c r="AW10" s="31" t="s">
        <v>8</v>
      </c>
      <c r="AX10" s="36">
        <f t="shared" si="130"/>
        <v>0.70725032918058084</v>
      </c>
      <c r="AY10" s="34">
        <f t="shared" si="131"/>
        <v>3.5541816315808106E-2</v>
      </c>
      <c r="AZ10" s="54">
        <f t="shared" si="132"/>
        <v>751586.40656576212</v>
      </c>
      <c r="BA10" s="81">
        <f t="shared" si="133"/>
        <v>0</v>
      </c>
      <c r="BB10" s="77" t="s">
        <v>8</v>
      </c>
      <c r="BC10" s="31" t="s">
        <v>8</v>
      </c>
      <c r="BD10" s="36">
        <f t="shared" si="134"/>
        <v>0.70725032918058084</v>
      </c>
      <c r="BE10" s="34">
        <f t="shared" si="135"/>
        <v>3.5541816315808106E-2</v>
      </c>
      <c r="BF10" s="54">
        <f t="shared" si="136"/>
        <v>751586.40656576212</v>
      </c>
      <c r="BG10" s="81">
        <f t="shared" si="137"/>
        <v>0</v>
      </c>
      <c r="BH10" s="77" t="s">
        <v>8</v>
      </c>
      <c r="BI10" s="31" t="s">
        <v>8</v>
      </c>
      <c r="BJ10" s="36">
        <f t="shared" si="138"/>
        <v>0.70725032918058084</v>
      </c>
      <c r="BK10" s="34">
        <f t="shared" si="139"/>
        <v>3.5541816315808106E-2</v>
      </c>
      <c r="BL10" s="54">
        <f t="shared" si="140"/>
        <v>751586.40656576212</v>
      </c>
      <c r="BM10" s="81">
        <f t="shared" si="141"/>
        <v>0</v>
      </c>
      <c r="BN10" s="77" t="s">
        <v>8</v>
      </c>
      <c r="BO10" s="31" t="s">
        <v>8</v>
      </c>
      <c r="BP10" s="36">
        <f t="shared" si="142"/>
        <v>0.70725032918058084</v>
      </c>
      <c r="BQ10" s="34">
        <f t="shared" si="143"/>
        <v>3.5541816315808106E-2</v>
      </c>
      <c r="BR10" s="54">
        <f t="shared" si="144"/>
        <v>751586.40656576212</v>
      </c>
      <c r="BS10" s="128">
        <f t="shared" si="145"/>
        <v>0</v>
      </c>
      <c r="BT10" s="77" t="s">
        <v>8</v>
      </c>
      <c r="BU10" s="31" t="s">
        <v>8</v>
      </c>
      <c r="BV10" s="36">
        <f t="shared" si="146"/>
        <v>0.70725032918058084</v>
      </c>
      <c r="BW10" s="34">
        <f t="shared" si="147"/>
        <v>3.5541816315808106E-2</v>
      </c>
      <c r="BX10" s="54">
        <f t="shared" si="148"/>
        <v>751586.40656576212</v>
      </c>
      <c r="BY10" s="128">
        <f t="shared" si="149"/>
        <v>0</v>
      </c>
      <c r="BZ10" s="77" t="s">
        <v>8</v>
      </c>
      <c r="CA10" s="31" t="s">
        <v>8</v>
      </c>
      <c r="CB10" s="36">
        <f t="shared" si="150"/>
        <v>0.70725032918058084</v>
      </c>
      <c r="CC10" s="34">
        <f t="shared" si="151"/>
        <v>3.5541816315808106E-2</v>
      </c>
      <c r="CD10" s="54">
        <f t="shared" si="152"/>
        <v>751586.40656576212</v>
      </c>
      <c r="CE10" s="128">
        <f t="shared" si="153"/>
        <v>0</v>
      </c>
      <c r="CF10" s="77" t="s">
        <v>8</v>
      </c>
      <c r="CG10" s="31" t="s">
        <v>8</v>
      </c>
      <c r="CH10" s="36">
        <f t="shared" si="154"/>
        <v>0.70725032918058084</v>
      </c>
      <c r="CI10" s="34">
        <f t="shared" si="155"/>
        <v>3.5541816315808106E-2</v>
      </c>
      <c r="CJ10" s="54">
        <f t="shared" si="156"/>
        <v>751586.40656576212</v>
      </c>
      <c r="CK10" s="128">
        <f t="shared" si="157"/>
        <v>0</v>
      </c>
      <c r="CL10" s="77" t="s">
        <v>8</v>
      </c>
      <c r="CM10" s="31" t="s">
        <v>8</v>
      </c>
      <c r="CN10" s="36">
        <f t="shared" si="158"/>
        <v>0.70725032918058084</v>
      </c>
      <c r="CO10" s="34">
        <f t="shared" si="159"/>
        <v>3.5541816315808106E-2</v>
      </c>
      <c r="CP10" s="54">
        <f t="shared" si="160"/>
        <v>751586.40656576212</v>
      </c>
      <c r="CQ10" s="128">
        <f t="shared" si="161"/>
        <v>0</v>
      </c>
      <c r="CR10" s="77" t="s">
        <v>8</v>
      </c>
      <c r="CS10" s="31" t="s">
        <v>8</v>
      </c>
      <c r="CT10" s="36">
        <f t="shared" si="162"/>
        <v>0.70725032918058084</v>
      </c>
      <c r="CU10" s="34">
        <f t="shared" si="163"/>
        <v>3.5541816315808106E-2</v>
      </c>
      <c r="CV10" s="54">
        <f t="shared" si="164"/>
        <v>751586.40656576212</v>
      </c>
      <c r="CW10" s="128">
        <f t="shared" si="165"/>
        <v>0</v>
      </c>
      <c r="CX10" s="77" t="s">
        <v>8</v>
      </c>
      <c r="CY10" s="31" t="s">
        <v>8</v>
      </c>
      <c r="CZ10" s="36">
        <f t="shared" si="166"/>
        <v>0.70725032918058084</v>
      </c>
      <c r="DA10" s="34">
        <f t="shared" si="167"/>
        <v>3.5541816315808106E-2</v>
      </c>
      <c r="DB10" s="54">
        <f t="shared" si="168"/>
        <v>751586.40656576212</v>
      </c>
      <c r="DC10" s="128">
        <f t="shared" si="169"/>
        <v>0</v>
      </c>
      <c r="DD10" s="77" t="s">
        <v>8</v>
      </c>
      <c r="DE10" s="31" t="s">
        <v>8</v>
      </c>
      <c r="DF10" s="36">
        <f t="shared" si="170"/>
        <v>0.70725032918058084</v>
      </c>
      <c r="DG10" s="34">
        <f t="shared" si="171"/>
        <v>3.5541816315808106E-2</v>
      </c>
      <c r="DH10" s="54">
        <f t="shared" si="172"/>
        <v>751586.40656576212</v>
      </c>
      <c r="DI10" s="128">
        <f t="shared" si="173"/>
        <v>0</v>
      </c>
      <c r="DJ10" s="77" t="s">
        <v>8</v>
      </c>
      <c r="DK10" s="31" t="s">
        <v>8</v>
      </c>
      <c r="DL10" s="36">
        <f t="shared" si="174"/>
        <v>0.70725032918058084</v>
      </c>
      <c r="DM10" s="34">
        <f t="shared" si="175"/>
        <v>3.5541816315808106E-2</v>
      </c>
      <c r="DN10" s="54">
        <f t="shared" si="176"/>
        <v>751586.40656576212</v>
      </c>
      <c r="DO10" s="128">
        <f t="shared" si="177"/>
        <v>0</v>
      </c>
      <c r="DP10" s="77" t="s">
        <v>8</v>
      </c>
      <c r="DQ10" s="31" t="s">
        <v>8</v>
      </c>
      <c r="DR10" s="36">
        <f t="shared" si="178"/>
        <v>0.70725032918058084</v>
      </c>
      <c r="DS10" s="34">
        <f t="shared" si="179"/>
        <v>3.5541816315808106E-2</v>
      </c>
      <c r="DT10" s="54">
        <f t="shared" si="180"/>
        <v>751586.40656576212</v>
      </c>
      <c r="DU10" s="128">
        <f t="shared" si="181"/>
        <v>0</v>
      </c>
      <c r="DV10" s="77" t="s">
        <v>8</v>
      </c>
      <c r="DW10" s="31" t="s">
        <v>8</v>
      </c>
      <c r="DX10" s="36">
        <f t="shared" si="182"/>
        <v>0.70725032918058084</v>
      </c>
      <c r="DY10" s="34">
        <f t="shared" si="183"/>
        <v>3.5541816315808106E-2</v>
      </c>
      <c r="DZ10" s="35">
        <f t="shared" si="184"/>
        <v>751586.40656576212</v>
      </c>
      <c r="EA10" s="81">
        <f t="shared" si="185"/>
        <v>0</v>
      </c>
      <c r="EB10" s="77" t="s">
        <v>8</v>
      </c>
      <c r="EC10" s="31" t="s">
        <v>8</v>
      </c>
      <c r="ED10" s="36">
        <f t="shared" si="186"/>
        <v>0.70725032918058084</v>
      </c>
      <c r="EE10" s="34">
        <f t="shared" si="187"/>
        <v>3.5541816315808106E-2</v>
      </c>
      <c r="EF10" s="35">
        <f t="shared" si="188"/>
        <v>751586.40656576212</v>
      </c>
      <c r="EG10" s="81">
        <f t="shared" si="189"/>
        <v>0</v>
      </c>
      <c r="EH10" s="77" t="s">
        <v>8</v>
      </c>
      <c r="EI10" s="31" t="s">
        <v>8</v>
      </c>
      <c r="EJ10" s="36">
        <f t="shared" si="190"/>
        <v>0.70725032918058084</v>
      </c>
      <c r="EK10" s="34">
        <f t="shared" si="191"/>
        <v>3.5541816315808106E-2</v>
      </c>
      <c r="EL10" s="35">
        <f t="shared" si="192"/>
        <v>751586.40656576212</v>
      </c>
      <c r="EM10" s="81">
        <f t="shared" si="193"/>
        <v>0</v>
      </c>
      <c r="EN10" s="77" t="s">
        <v>8</v>
      </c>
      <c r="EO10" s="31" t="s">
        <v>8</v>
      </c>
      <c r="EP10" s="36">
        <f t="shared" si="194"/>
        <v>0.70725032918058084</v>
      </c>
      <c r="EQ10" s="34">
        <f t="shared" si="195"/>
        <v>3.5541816315808106E-2</v>
      </c>
      <c r="ER10" s="35">
        <f t="shared" si="196"/>
        <v>751586.40656576212</v>
      </c>
      <c r="ES10" s="81">
        <f t="shared" si="197"/>
        <v>0</v>
      </c>
      <c r="ET10" s="77" t="s">
        <v>8</v>
      </c>
      <c r="EU10" s="31" t="s">
        <v>8</v>
      </c>
      <c r="EV10" s="36">
        <f t="shared" si="198"/>
        <v>0.70725032918058084</v>
      </c>
      <c r="EW10" s="34">
        <f t="shared" si="199"/>
        <v>3.5541816315808106E-2</v>
      </c>
      <c r="EX10" s="35">
        <f t="shared" si="200"/>
        <v>751586.40656576212</v>
      </c>
      <c r="EY10" s="81">
        <f t="shared" si="201"/>
        <v>0</v>
      </c>
      <c r="EZ10" s="77" t="s">
        <v>8</v>
      </c>
      <c r="FA10" s="31" t="s">
        <v>8</v>
      </c>
      <c r="FB10" s="36">
        <f t="shared" si="202"/>
        <v>0.70725032918058084</v>
      </c>
      <c r="FC10" s="34">
        <f t="shared" si="203"/>
        <v>3.5541816315808106E-2</v>
      </c>
      <c r="FD10" s="35">
        <f t="shared" si="204"/>
        <v>751586.40656576212</v>
      </c>
      <c r="FE10" s="81">
        <f t="shared" si="205"/>
        <v>0</v>
      </c>
      <c r="FF10" s="77" t="s">
        <v>8</v>
      </c>
      <c r="FG10" s="31" t="s">
        <v>8</v>
      </c>
      <c r="FH10" s="36">
        <f t="shared" si="206"/>
        <v>0.70725032918058084</v>
      </c>
      <c r="FI10" s="34">
        <f t="shared" si="207"/>
        <v>3.5541816315808106E-2</v>
      </c>
      <c r="FJ10" s="35">
        <f t="shared" si="208"/>
        <v>751586.40656576212</v>
      </c>
      <c r="FK10" s="81">
        <f t="shared" si="209"/>
        <v>0</v>
      </c>
      <c r="FL10" s="77" t="s">
        <v>8</v>
      </c>
      <c r="FM10" s="31" t="s">
        <v>8</v>
      </c>
      <c r="FN10" s="36">
        <f t="shared" si="210"/>
        <v>0.70725032918058084</v>
      </c>
      <c r="FO10" s="34">
        <f t="shared" si="211"/>
        <v>3.5541816315808106E-2</v>
      </c>
      <c r="FP10" s="35">
        <f t="shared" si="212"/>
        <v>751586.40656576212</v>
      </c>
      <c r="FQ10" s="81">
        <f t="shared" si="213"/>
        <v>0</v>
      </c>
      <c r="FR10" s="77" t="s">
        <v>8</v>
      </c>
      <c r="FS10" s="31" t="s">
        <v>8</v>
      </c>
      <c r="FT10" s="36">
        <f t="shared" si="214"/>
        <v>0.70725032918058084</v>
      </c>
      <c r="FU10" s="34">
        <f t="shared" si="215"/>
        <v>3.5541816315808106E-2</v>
      </c>
      <c r="FV10" s="35">
        <f t="shared" si="216"/>
        <v>751586.40656576212</v>
      </c>
      <c r="FW10" s="81">
        <f t="shared" si="217"/>
        <v>0</v>
      </c>
      <c r="FX10" s="77" t="s">
        <v>8</v>
      </c>
      <c r="FY10" s="31" t="s">
        <v>8</v>
      </c>
      <c r="FZ10" s="36">
        <f t="shared" si="218"/>
        <v>0.70725032918058084</v>
      </c>
      <c r="GA10" s="34">
        <f t="shared" si="219"/>
        <v>3.5541816315808106E-2</v>
      </c>
      <c r="GB10" s="35">
        <f t="shared" si="220"/>
        <v>751586.40656576212</v>
      </c>
      <c r="GC10" s="81">
        <f t="shared" si="221"/>
        <v>0</v>
      </c>
      <c r="GD10" s="77" t="s">
        <v>8</v>
      </c>
      <c r="GE10" s="31" t="s">
        <v>8</v>
      </c>
      <c r="GF10" s="36">
        <f t="shared" si="222"/>
        <v>0.70725032918058084</v>
      </c>
      <c r="GG10" s="34">
        <f t="shared" si="223"/>
        <v>3.5541816315808106E-2</v>
      </c>
      <c r="GH10" s="35">
        <f t="shared" si="224"/>
        <v>751586.40656576212</v>
      </c>
      <c r="GI10" s="128">
        <f t="shared" si="225"/>
        <v>0</v>
      </c>
      <c r="GJ10" s="185">
        <f t="shared" ref="GJ10:GJ21" si="227">Q10+W10+AC10+AI10+AO10+AU10+BA10+BG10+BM10+BS10+BY10+CE10+CK10+CQ10+CW10+DC10+DI10+DO10</f>
        <v>3951298.2075666338</v>
      </c>
      <c r="GK10" s="98">
        <f t="shared" ref="GK10:GK21" si="228">L10+GJ10</f>
        <v>5399050.8914870527</v>
      </c>
      <c r="GL10" s="261">
        <f t="shared" si="226"/>
        <v>0.70725032918058095</v>
      </c>
      <c r="GM10" s="254"/>
      <c r="GN10" s="254"/>
      <c r="GO10" s="191"/>
    </row>
    <row r="11" spans="1:197" s="26" customFormat="1" ht="48" thickBot="1" x14ac:dyDescent="0.3">
      <c r="A11" s="122" t="s">
        <v>176</v>
      </c>
      <c r="B11" s="162" t="s">
        <v>8</v>
      </c>
      <c r="C11" s="162" t="s">
        <v>8</v>
      </c>
      <c r="D11" s="162" t="s">
        <v>8</v>
      </c>
      <c r="E11" s="162" t="s">
        <v>8</v>
      </c>
      <c r="F11" s="162" t="s">
        <v>8</v>
      </c>
      <c r="G11" s="107">
        <f>'Исходные данные'!C13</f>
        <v>1695</v>
      </c>
      <c r="H11" s="32">
        <f>'Исходные данные'!D13</f>
        <v>3552267</v>
      </c>
      <c r="I11" s="33">
        <f>'Расчет КРП'!E9</f>
        <v>1.8468131585710614</v>
      </c>
      <c r="J11" s="114" t="s">
        <v>8</v>
      </c>
      <c r="K11" s="118">
        <f t="shared" si="104"/>
        <v>0.39393314590085488</v>
      </c>
      <c r="L11" s="78">
        <f t="shared" si="105"/>
        <v>1016545.4843600293</v>
      </c>
      <c r="M11" s="74">
        <f t="shared" si="106"/>
        <v>0.50666424426853229</v>
      </c>
      <c r="N11" s="31" t="s">
        <v>8</v>
      </c>
      <c r="O11" s="34">
        <f t="shared" si="107"/>
        <v>-4.4945342118508924E-2</v>
      </c>
      <c r="P11" s="182">
        <f t="shared" si="108"/>
        <v>0</v>
      </c>
      <c r="Q11" s="172">
        <f t="shared" si="109"/>
        <v>0</v>
      </c>
      <c r="R11" s="167" t="s">
        <v>8</v>
      </c>
      <c r="S11" s="31" t="s">
        <v>8</v>
      </c>
      <c r="T11" s="36">
        <f t="shared" si="110"/>
        <v>0.50666424426853229</v>
      </c>
      <c r="U11" s="34">
        <f t="shared" si="111"/>
        <v>5.8401339360410587E-2</v>
      </c>
      <c r="V11" s="54">
        <f t="shared" si="112"/>
        <v>689949.66580192698</v>
      </c>
      <c r="W11" s="81">
        <f t="shared" si="113"/>
        <v>689949.66580192698</v>
      </c>
      <c r="X11" s="77" t="s">
        <v>8</v>
      </c>
      <c r="Y11" s="31" t="s">
        <v>8</v>
      </c>
      <c r="Z11" s="36">
        <f t="shared" si="114"/>
        <v>0.58317708588843209</v>
      </c>
      <c r="AA11" s="34">
        <f t="shared" si="115"/>
        <v>5.5483591424128065E-2</v>
      </c>
      <c r="AB11" s="54">
        <f t="shared" si="116"/>
        <v>700146.41612781212</v>
      </c>
      <c r="AC11" s="81">
        <f t="shared" si="117"/>
        <v>700146.41612781212</v>
      </c>
      <c r="AD11" s="77" t="s">
        <v>8</v>
      </c>
      <c r="AE11" s="31" t="s">
        <v>8</v>
      </c>
      <c r="AF11" s="36">
        <f t="shared" si="118"/>
        <v>0.66082070904413448</v>
      </c>
      <c r="AG11" s="34">
        <f t="shared" si="119"/>
        <v>4.1737418777916591E-2</v>
      </c>
      <c r="AH11" s="54">
        <f t="shared" si="120"/>
        <v>554417.65382215707</v>
      </c>
      <c r="AI11" s="81">
        <f t="shared" si="121"/>
        <v>414498.61888249847</v>
      </c>
      <c r="AJ11" s="77" t="s">
        <v>8</v>
      </c>
      <c r="AK11" s="31" t="s">
        <v>8</v>
      </c>
      <c r="AL11" s="36">
        <f t="shared" si="122"/>
        <v>0.70678705811303677</v>
      </c>
      <c r="AM11" s="34">
        <f t="shared" si="123"/>
        <v>3.6005087383352175E-2</v>
      </c>
      <c r="AN11" s="54">
        <f t="shared" si="124"/>
        <v>493660.71657915023</v>
      </c>
      <c r="AO11" s="81">
        <f t="shared" si="125"/>
        <v>0</v>
      </c>
      <c r="AP11" s="77" t="s">
        <v>8</v>
      </c>
      <c r="AQ11" s="31" t="s">
        <v>8</v>
      </c>
      <c r="AR11" s="36">
        <f t="shared" si="126"/>
        <v>0.70678705811303677</v>
      </c>
      <c r="AS11" s="34">
        <f t="shared" si="127"/>
        <v>3.6005087383352175E-2</v>
      </c>
      <c r="AT11" s="54">
        <f t="shared" si="128"/>
        <v>493660.71657915023</v>
      </c>
      <c r="AU11" s="80">
        <f t="shared" si="129"/>
        <v>0</v>
      </c>
      <c r="AV11" s="77" t="s">
        <v>8</v>
      </c>
      <c r="AW11" s="31" t="s">
        <v>8</v>
      </c>
      <c r="AX11" s="36">
        <f t="shared" si="130"/>
        <v>0.70678705811303677</v>
      </c>
      <c r="AY11" s="34">
        <f t="shared" si="131"/>
        <v>3.6005087383352175E-2</v>
      </c>
      <c r="AZ11" s="54">
        <f t="shared" si="132"/>
        <v>493660.71657915023</v>
      </c>
      <c r="BA11" s="81">
        <f t="shared" si="133"/>
        <v>0</v>
      </c>
      <c r="BB11" s="77" t="s">
        <v>8</v>
      </c>
      <c r="BC11" s="31" t="s">
        <v>8</v>
      </c>
      <c r="BD11" s="36">
        <f t="shared" si="134"/>
        <v>0.70678705811303677</v>
      </c>
      <c r="BE11" s="34">
        <f t="shared" si="135"/>
        <v>3.6005087383352175E-2</v>
      </c>
      <c r="BF11" s="54">
        <f t="shared" si="136"/>
        <v>493660.71657915023</v>
      </c>
      <c r="BG11" s="81">
        <f t="shared" si="137"/>
        <v>0</v>
      </c>
      <c r="BH11" s="77" t="s">
        <v>8</v>
      </c>
      <c r="BI11" s="31" t="s">
        <v>8</v>
      </c>
      <c r="BJ11" s="36">
        <f t="shared" si="138"/>
        <v>0.70678705811303677</v>
      </c>
      <c r="BK11" s="34">
        <f t="shared" si="139"/>
        <v>3.6005087383352175E-2</v>
      </c>
      <c r="BL11" s="54">
        <f t="shared" si="140"/>
        <v>493660.71657915023</v>
      </c>
      <c r="BM11" s="81">
        <f t="shared" si="141"/>
        <v>0</v>
      </c>
      <c r="BN11" s="77" t="s">
        <v>8</v>
      </c>
      <c r="BO11" s="31" t="s">
        <v>8</v>
      </c>
      <c r="BP11" s="36">
        <f t="shared" si="142"/>
        <v>0.70678705811303677</v>
      </c>
      <c r="BQ11" s="34">
        <f t="shared" si="143"/>
        <v>3.6005087383352175E-2</v>
      </c>
      <c r="BR11" s="54">
        <f t="shared" si="144"/>
        <v>493660.71657915023</v>
      </c>
      <c r="BS11" s="128">
        <f t="shared" si="145"/>
        <v>0</v>
      </c>
      <c r="BT11" s="77" t="s">
        <v>8</v>
      </c>
      <c r="BU11" s="31" t="s">
        <v>8</v>
      </c>
      <c r="BV11" s="36">
        <f t="shared" si="146"/>
        <v>0.70678705811303677</v>
      </c>
      <c r="BW11" s="34">
        <f t="shared" si="147"/>
        <v>3.6005087383352175E-2</v>
      </c>
      <c r="BX11" s="54">
        <f t="shared" si="148"/>
        <v>493660.71657915023</v>
      </c>
      <c r="BY11" s="128">
        <f t="shared" si="149"/>
        <v>0</v>
      </c>
      <c r="BZ11" s="77" t="s">
        <v>8</v>
      </c>
      <c r="CA11" s="31" t="s">
        <v>8</v>
      </c>
      <c r="CB11" s="36">
        <f t="shared" si="150"/>
        <v>0.70678705811303677</v>
      </c>
      <c r="CC11" s="34">
        <f t="shared" si="151"/>
        <v>3.6005087383352175E-2</v>
      </c>
      <c r="CD11" s="54">
        <f t="shared" si="152"/>
        <v>493660.71657915023</v>
      </c>
      <c r="CE11" s="128">
        <f t="shared" si="153"/>
        <v>0</v>
      </c>
      <c r="CF11" s="77" t="s">
        <v>8</v>
      </c>
      <c r="CG11" s="31" t="s">
        <v>8</v>
      </c>
      <c r="CH11" s="36">
        <f t="shared" si="154"/>
        <v>0.70678705811303677</v>
      </c>
      <c r="CI11" s="34">
        <f t="shared" si="155"/>
        <v>3.6005087383352175E-2</v>
      </c>
      <c r="CJ11" s="54">
        <f t="shared" si="156"/>
        <v>493660.71657915023</v>
      </c>
      <c r="CK11" s="128">
        <f t="shared" si="157"/>
        <v>0</v>
      </c>
      <c r="CL11" s="77" t="s">
        <v>8</v>
      </c>
      <c r="CM11" s="31" t="s">
        <v>8</v>
      </c>
      <c r="CN11" s="36">
        <f t="shared" si="158"/>
        <v>0.70678705811303677</v>
      </c>
      <c r="CO11" s="34">
        <f t="shared" si="159"/>
        <v>3.6005087383352175E-2</v>
      </c>
      <c r="CP11" s="54">
        <f t="shared" si="160"/>
        <v>493660.71657915023</v>
      </c>
      <c r="CQ11" s="128">
        <f t="shared" si="161"/>
        <v>0</v>
      </c>
      <c r="CR11" s="77" t="s">
        <v>8</v>
      </c>
      <c r="CS11" s="31" t="s">
        <v>8</v>
      </c>
      <c r="CT11" s="36">
        <f t="shared" si="162"/>
        <v>0.70678705811303677</v>
      </c>
      <c r="CU11" s="34">
        <f t="shared" si="163"/>
        <v>3.6005087383352175E-2</v>
      </c>
      <c r="CV11" s="54">
        <f t="shared" si="164"/>
        <v>493660.71657915023</v>
      </c>
      <c r="CW11" s="128">
        <f t="shared" si="165"/>
        <v>0</v>
      </c>
      <c r="CX11" s="77" t="s">
        <v>8</v>
      </c>
      <c r="CY11" s="31" t="s">
        <v>8</v>
      </c>
      <c r="CZ11" s="36">
        <f t="shared" si="166"/>
        <v>0.70678705811303677</v>
      </c>
      <c r="DA11" s="34">
        <f t="shared" si="167"/>
        <v>3.6005087383352175E-2</v>
      </c>
      <c r="DB11" s="54">
        <f t="shared" si="168"/>
        <v>493660.71657915023</v>
      </c>
      <c r="DC11" s="128">
        <f t="shared" si="169"/>
        <v>0</v>
      </c>
      <c r="DD11" s="77" t="s">
        <v>8</v>
      </c>
      <c r="DE11" s="31" t="s">
        <v>8</v>
      </c>
      <c r="DF11" s="36">
        <f t="shared" si="170"/>
        <v>0.70678705811303677</v>
      </c>
      <c r="DG11" s="34">
        <f t="shared" si="171"/>
        <v>3.6005087383352175E-2</v>
      </c>
      <c r="DH11" s="54">
        <f t="shared" si="172"/>
        <v>493660.71657915023</v>
      </c>
      <c r="DI11" s="128">
        <f t="shared" si="173"/>
        <v>0</v>
      </c>
      <c r="DJ11" s="77" t="s">
        <v>8</v>
      </c>
      <c r="DK11" s="31" t="s">
        <v>8</v>
      </c>
      <c r="DL11" s="36">
        <f t="shared" si="174"/>
        <v>0.70678705811303677</v>
      </c>
      <c r="DM11" s="34">
        <f t="shared" si="175"/>
        <v>3.6005087383352175E-2</v>
      </c>
      <c r="DN11" s="54">
        <f t="shared" si="176"/>
        <v>493660.71657915023</v>
      </c>
      <c r="DO11" s="128">
        <f t="shared" si="177"/>
        <v>0</v>
      </c>
      <c r="DP11" s="77" t="s">
        <v>8</v>
      </c>
      <c r="DQ11" s="31" t="s">
        <v>8</v>
      </c>
      <c r="DR11" s="36">
        <f t="shared" si="178"/>
        <v>0.70678705811303677</v>
      </c>
      <c r="DS11" s="34">
        <f t="shared" si="179"/>
        <v>3.6005087383352175E-2</v>
      </c>
      <c r="DT11" s="54">
        <f t="shared" si="180"/>
        <v>493660.71657915023</v>
      </c>
      <c r="DU11" s="128">
        <f t="shared" si="181"/>
        <v>0</v>
      </c>
      <c r="DV11" s="77" t="s">
        <v>8</v>
      </c>
      <c r="DW11" s="31" t="s">
        <v>8</v>
      </c>
      <c r="DX11" s="36">
        <f t="shared" si="182"/>
        <v>0.70678705811303677</v>
      </c>
      <c r="DY11" s="34">
        <f t="shared" si="183"/>
        <v>3.6005087383352175E-2</v>
      </c>
      <c r="DZ11" s="35">
        <f t="shared" si="184"/>
        <v>493660.71657915023</v>
      </c>
      <c r="EA11" s="81">
        <f t="shared" si="185"/>
        <v>0</v>
      </c>
      <c r="EB11" s="77" t="s">
        <v>8</v>
      </c>
      <c r="EC11" s="31" t="s">
        <v>8</v>
      </c>
      <c r="ED11" s="36">
        <f t="shared" si="186"/>
        <v>0.70678705811303677</v>
      </c>
      <c r="EE11" s="34">
        <f t="shared" si="187"/>
        <v>3.6005087383352175E-2</v>
      </c>
      <c r="EF11" s="35">
        <f t="shared" si="188"/>
        <v>493660.71657915023</v>
      </c>
      <c r="EG11" s="81">
        <f t="shared" si="189"/>
        <v>0</v>
      </c>
      <c r="EH11" s="77" t="s">
        <v>8</v>
      </c>
      <c r="EI11" s="31" t="s">
        <v>8</v>
      </c>
      <c r="EJ11" s="36">
        <f t="shared" si="190"/>
        <v>0.70678705811303677</v>
      </c>
      <c r="EK11" s="34">
        <f t="shared" si="191"/>
        <v>3.6005087383352175E-2</v>
      </c>
      <c r="EL11" s="35">
        <f t="shared" si="192"/>
        <v>493660.71657915023</v>
      </c>
      <c r="EM11" s="81">
        <f t="shared" si="193"/>
        <v>0</v>
      </c>
      <c r="EN11" s="77" t="s">
        <v>8</v>
      </c>
      <c r="EO11" s="31" t="s">
        <v>8</v>
      </c>
      <c r="EP11" s="36">
        <f t="shared" si="194"/>
        <v>0.70678705811303677</v>
      </c>
      <c r="EQ11" s="34">
        <f t="shared" si="195"/>
        <v>3.6005087383352175E-2</v>
      </c>
      <c r="ER11" s="35">
        <f t="shared" si="196"/>
        <v>493660.71657915023</v>
      </c>
      <c r="ES11" s="81">
        <f t="shared" si="197"/>
        <v>0</v>
      </c>
      <c r="ET11" s="77" t="s">
        <v>8</v>
      </c>
      <c r="EU11" s="31" t="s">
        <v>8</v>
      </c>
      <c r="EV11" s="36">
        <f t="shared" si="198"/>
        <v>0.70678705811303677</v>
      </c>
      <c r="EW11" s="34">
        <f t="shared" si="199"/>
        <v>3.6005087383352175E-2</v>
      </c>
      <c r="EX11" s="35">
        <f t="shared" si="200"/>
        <v>493660.71657915023</v>
      </c>
      <c r="EY11" s="81">
        <f t="shared" si="201"/>
        <v>0</v>
      </c>
      <c r="EZ11" s="77" t="s">
        <v>8</v>
      </c>
      <c r="FA11" s="31" t="s">
        <v>8</v>
      </c>
      <c r="FB11" s="36">
        <f t="shared" si="202"/>
        <v>0.70678705811303677</v>
      </c>
      <c r="FC11" s="34">
        <f t="shared" si="203"/>
        <v>3.6005087383352175E-2</v>
      </c>
      <c r="FD11" s="35">
        <f t="shared" si="204"/>
        <v>493660.71657915023</v>
      </c>
      <c r="FE11" s="81">
        <f t="shared" si="205"/>
        <v>0</v>
      </c>
      <c r="FF11" s="77" t="s">
        <v>8</v>
      </c>
      <c r="FG11" s="31" t="s">
        <v>8</v>
      </c>
      <c r="FH11" s="36">
        <f t="shared" si="206"/>
        <v>0.70678705811303677</v>
      </c>
      <c r="FI11" s="34">
        <f t="shared" si="207"/>
        <v>3.6005087383352175E-2</v>
      </c>
      <c r="FJ11" s="35">
        <f t="shared" si="208"/>
        <v>493660.71657915023</v>
      </c>
      <c r="FK11" s="81">
        <f t="shared" si="209"/>
        <v>0</v>
      </c>
      <c r="FL11" s="77" t="s">
        <v>8</v>
      </c>
      <c r="FM11" s="31" t="s">
        <v>8</v>
      </c>
      <c r="FN11" s="36">
        <f t="shared" si="210"/>
        <v>0.70678705811303677</v>
      </c>
      <c r="FO11" s="34">
        <f t="shared" si="211"/>
        <v>3.6005087383352175E-2</v>
      </c>
      <c r="FP11" s="35">
        <f t="shared" si="212"/>
        <v>493660.71657915023</v>
      </c>
      <c r="FQ11" s="81">
        <f t="shared" si="213"/>
        <v>0</v>
      </c>
      <c r="FR11" s="77" t="s">
        <v>8</v>
      </c>
      <c r="FS11" s="31" t="s">
        <v>8</v>
      </c>
      <c r="FT11" s="36">
        <f t="shared" si="214"/>
        <v>0.70678705811303677</v>
      </c>
      <c r="FU11" s="34">
        <f t="shared" si="215"/>
        <v>3.6005087383352175E-2</v>
      </c>
      <c r="FV11" s="35">
        <f t="shared" si="216"/>
        <v>493660.71657915023</v>
      </c>
      <c r="FW11" s="81">
        <f t="shared" si="217"/>
        <v>0</v>
      </c>
      <c r="FX11" s="77" t="s">
        <v>8</v>
      </c>
      <c r="FY11" s="31" t="s">
        <v>8</v>
      </c>
      <c r="FZ11" s="36">
        <f t="shared" si="218"/>
        <v>0.70678705811303677</v>
      </c>
      <c r="GA11" s="34">
        <f t="shared" si="219"/>
        <v>3.6005087383352175E-2</v>
      </c>
      <c r="GB11" s="35">
        <f t="shared" si="220"/>
        <v>493660.71657915023</v>
      </c>
      <c r="GC11" s="81">
        <f t="shared" si="221"/>
        <v>0</v>
      </c>
      <c r="GD11" s="77" t="s">
        <v>8</v>
      </c>
      <c r="GE11" s="31" t="s">
        <v>8</v>
      </c>
      <c r="GF11" s="36">
        <f t="shared" si="222"/>
        <v>0.70678705811303677</v>
      </c>
      <c r="GG11" s="34">
        <f t="shared" si="223"/>
        <v>3.6005087383352175E-2</v>
      </c>
      <c r="GH11" s="35">
        <f t="shared" si="224"/>
        <v>493660.71657915023</v>
      </c>
      <c r="GI11" s="128">
        <f t="shared" si="225"/>
        <v>0</v>
      </c>
      <c r="GJ11" s="185">
        <f t="shared" si="227"/>
        <v>1804594.7008122376</v>
      </c>
      <c r="GK11" s="98">
        <f t="shared" si="228"/>
        <v>2821140.1851722668</v>
      </c>
      <c r="GL11" s="261">
        <f t="shared" si="226"/>
        <v>0.70678705811303688</v>
      </c>
      <c r="GM11" s="254"/>
      <c r="GN11" s="254"/>
      <c r="GO11" s="191"/>
    </row>
    <row r="12" spans="1:197" s="26" customFormat="1" ht="48" thickBot="1" x14ac:dyDescent="0.3">
      <c r="A12" s="122" t="s">
        <v>177</v>
      </c>
      <c r="B12" s="162" t="s">
        <v>8</v>
      </c>
      <c r="C12" s="162" t="s">
        <v>8</v>
      </c>
      <c r="D12" s="162" t="s">
        <v>8</v>
      </c>
      <c r="E12" s="162" t="s">
        <v>8</v>
      </c>
      <c r="F12" s="162" t="s">
        <v>8</v>
      </c>
      <c r="G12" s="107">
        <f>'Исходные данные'!C14</f>
        <v>1198</v>
      </c>
      <c r="H12" s="32">
        <f>'Исходные данные'!D14</f>
        <v>2246032</v>
      </c>
      <c r="I12" s="33">
        <f>'Расчет КРП'!E10</f>
        <v>2.6642122847597021</v>
      </c>
      <c r="J12" s="114" t="s">
        <v>8</v>
      </c>
      <c r="K12" s="118">
        <f t="shared" si="104"/>
        <v>0.24428673256889075</v>
      </c>
      <c r="L12" s="78">
        <f t="shared" si="105"/>
        <v>718478.75531758997</v>
      </c>
      <c r="M12" s="74">
        <f t="shared" si="106"/>
        <v>0.32243113458840683</v>
      </c>
      <c r="N12" s="31" t="s">
        <v>8</v>
      </c>
      <c r="O12" s="34">
        <f t="shared" si="107"/>
        <v>0.13928776756161654</v>
      </c>
      <c r="P12" s="182">
        <f t="shared" si="108"/>
        <v>1547267.6694833203</v>
      </c>
      <c r="Q12" s="172">
        <f t="shared" si="109"/>
        <v>1547267.6694833203</v>
      </c>
      <c r="R12" s="167" t="s">
        <v>8</v>
      </c>
      <c r="S12" s="31" t="s">
        <v>8</v>
      </c>
      <c r="T12" s="36">
        <f t="shared" si="110"/>
        <v>0.4907176787638961</v>
      </c>
      <c r="U12" s="34">
        <f t="shared" si="111"/>
        <v>7.4347904865046777E-2</v>
      </c>
      <c r="V12" s="54">
        <f t="shared" si="112"/>
        <v>895563.36136650061</v>
      </c>
      <c r="W12" s="81">
        <f t="shared" si="113"/>
        <v>895563.36136650061</v>
      </c>
      <c r="X12" s="77" t="s">
        <v>8</v>
      </c>
      <c r="Y12" s="31" t="s">
        <v>8</v>
      </c>
      <c r="Z12" s="36">
        <f t="shared" si="114"/>
        <v>0.58812245632567417</v>
      </c>
      <c r="AA12" s="34">
        <f t="shared" si="115"/>
        <v>5.0538220986885984E-2</v>
      </c>
      <c r="AB12" s="54">
        <f t="shared" si="116"/>
        <v>650245.32283346006</v>
      </c>
      <c r="AC12" s="81">
        <f t="shared" si="117"/>
        <v>650245.32283346006</v>
      </c>
      <c r="AD12" s="77" t="s">
        <v>8</v>
      </c>
      <c r="AE12" s="31" t="s">
        <v>8</v>
      </c>
      <c r="AF12" s="36">
        <f t="shared" si="118"/>
        <v>0.65884553831345938</v>
      </c>
      <c r="AG12" s="34">
        <f t="shared" si="119"/>
        <v>4.3712589508591693E-2</v>
      </c>
      <c r="AH12" s="54">
        <f t="shared" si="120"/>
        <v>592039.90483849274</v>
      </c>
      <c r="AI12" s="81">
        <f t="shared" si="121"/>
        <v>442626.0981898657</v>
      </c>
      <c r="AJ12" s="77" t="s">
        <v>8</v>
      </c>
      <c r="AK12" s="31" t="s">
        <v>8</v>
      </c>
      <c r="AL12" s="36">
        <f t="shared" si="122"/>
        <v>0.70698718690818985</v>
      </c>
      <c r="AM12" s="34">
        <f t="shared" si="123"/>
        <v>3.5804958588199098E-2</v>
      </c>
      <c r="AN12" s="54">
        <f t="shared" si="124"/>
        <v>500542.38376485667</v>
      </c>
      <c r="AO12" s="81">
        <f t="shared" si="125"/>
        <v>0</v>
      </c>
      <c r="AP12" s="77" t="s">
        <v>8</v>
      </c>
      <c r="AQ12" s="31" t="s">
        <v>8</v>
      </c>
      <c r="AR12" s="36">
        <f t="shared" si="126"/>
        <v>0.70698718690818985</v>
      </c>
      <c r="AS12" s="34">
        <f t="shared" si="127"/>
        <v>3.5804958588199098E-2</v>
      </c>
      <c r="AT12" s="54">
        <f t="shared" si="128"/>
        <v>500542.38376485667</v>
      </c>
      <c r="AU12" s="80">
        <f t="shared" si="129"/>
        <v>0</v>
      </c>
      <c r="AV12" s="77" t="s">
        <v>8</v>
      </c>
      <c r="AW12" s="31" t="s">
        <v>8</v>
      </c>
      <c r="AX12" s="36">
        <f t="shared" si="130"/>
        <v>0.70698718690818985</v>
      </c>
      <c r="AY12" s="34">
        <f t="shared" si="131"/>
        <v>3.5804958588199098E-2</v>
      </c>
      <c r="AZ12" s="54">
        <f t="shared" si="132"/>
        <v>500542.38376485667</v>
      </c>
      <c r="BA12" s="81">
        <f t="shared" si="133"/>
        <v>0</v>
      </c>
      <c r="BB12" s="77" t="s">
        <v>8</v>
      </c>
      <c r="BC12" s="31" t="s">
        <v>8</v>
      </c>
      <c r="BD12" s="36">
        <f t="shared" si="134"/>
        <v>0.70698718690818985</v>
      </c>
      <c r="BE12" s="34">
        <f t="shared" si="135"/>
        <v>3.5804958588199098E-2</v>
      </c>
      <c r="BF12" s="54">
        <f t="shared" si="136"/>
        <v>500542.38376485667</v>
      </c>
      <c r="BG12" s="81">
        <f t="shared" si="137"/>
        <v>0</v>
      </c>
      <c r="BH12" s="77" t="s">
        <v>8</v>
      </c>
      <c r="BI12" s="31" t="s">
        <v>8</v>
      </c>
      <c r="BJ12" s="36">
        <f t="shared" si="138"/>
        <v>0.70698718690818985</v>
      </c>
      <c r="BK12" s="34">
        <f t="shared" si="139"/>
        <v>3.5804958588199098E-2</v>
      </c>
      <c r="BL12" s="54">
        <f t="shared" si="140"/>
        <v>500542.38376485667</v>
      </c>
      <c r="BM12" s="81">
        <f t="shared" si="141"/>
        <v>0</v>
      </c>
      <c r="BN12" s="77" t="s">
        <v>8</v>
      </c>
      <c r="BO12" s="31" t="s">
        <v>8</v>
      </c>
      <c r="BP12" s="36">
        <f t="shared" si="142"/>
        <v>0.70698718690818985</v>
      </c>
      <c r="BQ12" s="34">
        <f t="shared" si="143"/>
        <v>3.5804958588199098E-2</v>
      </c>
      <c r="BR12" s="54">
        <f t="shared" si="144"/>
        <v>500542.38376485667</v>
      </c>
      <c r="BS12" s="128">
        <f t="shared" si="145"/>
        <v>0</v>
      </c>
      <c r="BT12" s="77" t="s">
        <v>8</v>
      </c>
      <c r="BU12" s="31" t="s">
        <v>8</v>
      </c>
      <c r="BV12" s="36">
        <f t="shared" si="146"/>
        <v>0.70698718690818985</v>
      </c>
      <c r="BW12" s="34">
        <f t="shared" si="147"/>
        <v>3.5804958588199098E-2</v>
      </c>
      <c r="BX12" s="54">
        <f t="shared" si="148"/>
        <v>500542.38376485667</v>
      </c>
      <c r="BY12" s="128">
        <f t="shared" si="149"/>
        <v>0</v>
      </c>
      <c r="BZ12" s="77" t="s">
        <v>8</v>
      </c>
      <c r="CA12" s="31" t="s">
        <v>8</v>
      </c>
      <c r="CB12" s="36">
        <f t="shared" si="150"/>
        <v>0.70698718690818985</v>
      </c>
      <c r="CC12" s="34">
        <f t="shared" si="151"/>
        <v>3.5804958588199098E-2</v>
      </c>
      <c r="CD12" s="54">
        <f t="shared" si="152"/>
        <v>500542.38376485667</v>
      </c>
      <c r="CE12" s="128">
        <f t="shared" si="153"/>
        <v>0</v>
      </c>
      <c r="CF12" s="77" t="s">
        <v>8</v>
      </c>
      <c r="CG12" s="31" t="s">
        <v>8</v>
      </c>
      <c r="CH12" s="36">
        <f t="shared" si="154"/>
        <v>0.70698718690818985</v>
      </c>
      <c r="CI12" s="34">
        <f t="shared" si="155"/>
        <v>3.5804958588199098E-2</v>
      </c>
      <c r="CJ12" s="54">
        <f t="shared" si="156"/>
        <v>500542.38376485667</v>
      </c>
      <c r="CK12" s="128">
        <f t="shared" si="157"/>
        <v>0</v>
      </c>
      <c r="CL12" s="77" t="s">
        <v>8</v>
      </c>
      <c r="CM12" s="31" t="s">
        <v>8</v>
      </c>
      <c r="CN12" s="36">
        <f t="shared" si="158"/>
        <v>0.70698718690818985</v>
      </c>
      <c r="CO12" s="34">
        <f t="shared" si="159"/>
        <v>3.5804958588199098E-2</v>
      </c>
      <c r="CP12" s="54">
        <f t="shared" si="160"/>
        <v>500542.38376485667</v>
      </c>
      <c r="CQ12" s="128">
        <f t="shared" si="161"/>
        <v>0</v>
      </c>
      <c r="CR12" s="77" t="s">
        <v>8</v>
      </c>
      <c r="CS12" s="31" t="s">
        <v>8</v>
      </c>
      <c r="CT12" s="36">
        <f t="shared" si="162"/>
        <v>0.70698718690818985</v>
      </c>
      <c r="CU12" s="34">
        <f t="shared" si="163"/>
        <v>3.5804958588199098E-2</v>
      </c>
      <c r="CV12" s="54">
        <f t="shared" si="164"/>
        <v>500542.38376485667</v>
      </c>
      <c r="CW12" s="128">
        <f t="shared" si="165"/>
        <v>0</v>
      </c>
      <c r="CX12" s="77" t="s">
        <v>8</v>
      </c>
      <c r="CY12" s="31" t="s">
        <v>8</v>
      </c>
      <c r="CZ12" s="36">
        <f t="shared" si="166"/>
        <v>0.70698718690818985</v>
      </c>
      <c r="DA12" s="34">
        <f t="shared" si="167"/>
        <v>3.5804958588199098E-2</v>
      </c>
      <c r="DB12" s="54">
        <f t="shared" si="168"/>
        <v>500542.38376485667</v>
      </c>
      <c r="DC12" s="128">
        <f t="shared" si="169"/>
        <v>0</v>
      </c>
      <c r="DD12" s="77" t="s">
        <v>8</v>
      </c>
      <c r="DE12" s="31" t="s">
        <v>8</v>
      </c>
      <c r="DF12" s="36">
        <f t="shared" si="170"/>
        <v>0.70698718690818985</v>
      </c>
      <c r="DG12" s="34">
        <f t="shared" si="171"/>
        <v>3.5804958588199098E-2</v>
      </c>
      <c r="DH12" s="54">
        <f t="shared" si="172"/>
        <v>500542.38376485667</v>
      </c>
      <c r="DI12" s="128">
        <f t="shared" si="173"/>
        <v>0</v>
      </c>
      <c r="DJ12" s="77" t="s">
        <v>8</v>
      </c>
      <c r="DK12" s="31" t="s">
        <v>8</v>
      </c>
      <c r="DL12" s="36">
        <f t="shared" si="174"/>
        <v>0.70698718690818985</v>
      </c>
      <c r="DM12" s="34">
        <f t="shared" si="175"/>
        <v>3.5804958588199098E-2</v>
      </c>
      <c r="DN12" s="54">
        <f t="shared" si="176"/>
        <v>500542.38376485667</v>
      </c>
      <c r="DO12" s="128">
        <f t="shared" si="177"/>
        <v>0</v>
      </c>
      <c r="DP12" s="77" t="s">
        <v>8</v>
      </c>
      <c r="DQ12" s="31" t="s">
        <v>8</v>
      </c>
      <c r="DR12" s="36">
        <f t="shared" si="178"/>
        <v>0.70698718690818985</v>
      </c>
      <c r="DS12" s="34">
        <f t="shared" si="179"/>
        <v>3.5804958588199098E-2</v>
      </c>
      <c r="DT12" s="54">
        <f t="shared" si="180"/>
        <v>500542.38376485667</v>
      </c>
      <c r="DU12" s="128">
        <f t="shared" si="181"/>
        <v>0</v>
      </c>
      <c r="DV12" s="77" t="s">
        <v>8</v>
      </c>
      <c r="DW12" s="31" t="s">
        <v>8</v>
      </c>
      <c r="DX12" s="36">
        <f t="shared" si="182"/>
        <v>0.70698718690818985</v>
      </c>
      <c r="DY12" s="34">
        <f t="shared" si="183"/>
        <v>3.5804958588199098E-2</v>
      </c>
      <c r="DZ12" s="35">
        <f t="shared" si="184"/>
        <v>500542.38376485667</v>
      </c>
      <c r="EA12" s="81">
        <f t="shared" si="185"/>
        <v>0</v>
      </c>
      <c r="EB12" s="77" t="s">
        <v>8</v>
      </c>
      <c r="EC12" s="31" t="s">
        <v>8</v>
      </c>
      <c r="ED12" s="36">
        <f t="shared" si="186"/>
        <v>0.70698718690818985</v>
      </c>
      <c r="EE12" s="34">
        <f t="shared" si="187"/>
        <v>3.5804958588199098E-2</v>
      </c>
      <c r="EF12" s="35">
        <f t="shared" si="188"/>
        <v>500542.38376485667</v>
      </c>
      <c r="EG12" s="81">
        <f t="shared" si="189"/>
        <v>0</v>
      </c>
      <c r="EH12" s="77" t="s">
        <v>8</v>
      </c>
      <c r="EI12" s="31" t="s">
        <v>8</v>
      </c>
      <c r="EJ12" s="36">
        <f t="shared" si="190"/>
        <v>0.70698718690818985</v>
      </c>
      <c r="EK12" s="34">
        <f t="shared" si="191"/>
        <v>3.5804958588199098E-2</v>
      </c>
      <c r="EL12" s="35">
        <f t="shared" si="192"/>
        <v>500542.38376485667</v>
      </c>
      <c r="EM12" s="81">
        <f t="shared" si="193"/>
        <v>0</v>
      </c>
      <c r="EN12" s="77" t="s">
        <v>8</v>
      </c>
      <c r="EO12" s="31" t="s">
        <v>8</v>
      </c>
      <c r="EP12" s="36">
        <f t="shared" si="194"/>
        <v>0.70698718690818985</v>
      </c>
      <c r="EQ12" s="34">
        <f t="shared" si="195"/>
        <v>3.5804958588199098E-2</v>
      </c>
      <c r="ER12" s="35">
        <f t="shared" si="196"/>
        <v>500542.38376485667</v>
      </c>
      <c r="ES12" s="81">
        <f t="shared" si="197"/>
        <v>0</v>
      </c>
      <c r="ET12" s="77" t="s">
        <v>8</v>
      </c>
      <c r="EU12" s="31" t="s">
        <v>8</v>
      </c>
      <c r="EV12" s="36">
        <f t="shared" si="198"/>
        <v>0.70698718690818985</v>
      </c>
      <c r="EW12" s="34">
        <f t="shared" si="199"/>
        <v>3.5804958588199098E-2</v>
      </c>
      <c r="EX12" s="35">
        <f t="shared" si="200"/>
        <v>500542.38376485667</v>
      </c>
      <c r="EY12" s="81">
        <f t="shared" si="201"/>
        <v>0</v>
      </c>
      <c r="EZ12" s="77" t="s">
        <v>8</v>
      </c>
      <c r="FA12" s="31" t="s">
        <v>8</v>
      </c>
      <c r="FB12" s="36">
        <f t="shared" si="202"/>
        <v>0.70698718690818985</v>
      </c>
      <c r="FC12" s="34">
        <f t="shared" si="203"/>
        <v>3.5804958588199098E-2</v>
      </c>
      <c r="FD12" s="35">
        <f t="shared" si="204"/>
        <v>500542.38376485667</v>
      </c>
      <c r="FE12" s="81">
        <f t="shared" si="205"/>
        <v>0</v>
      </c>
      <c r="FF12" s="77" t="s">
        <v>8</v>
      </c>
      <c r="FG12" s="31" t="s">
        <v>8</v>
      </c>
      <c r="FH12" s="36">
        <f t="shared" si="206"/>
        <v>0.70698718690818985</v>
      </c>
      <c r="FI12" s="34">
        <f t="shared" si="207"/>
        <v>3.5804958588199098E-2</v>
      </c>
      <c r="FJ12" s="35">
        <f t="shared" si="208"/>
        <v>500542.38376485667</v>
      </c>
      <c r="FK12" s="81">
        <f t="shared" si="209"/>
        <v>0</v>
      </c>
      <c r="FL12" s="77" t="s">
        <v>8</v>
      </c>
      <c r="FM12" s="31" t="s">
        <v>8</v>
      </c>
      <c r="FN12" s="36">
        <f t="shared" si="210"/>
        <v>0.70698718690818985</v>
      </c>
      <c r="FO12" s="34">
        <f t="shared" si="211"/>
        <v>3.5804958588199098E-2</v>
      </c>
      <c r="FP12" s="35">
        <f t="shared" si="212"/>
        <v>500542.38376485667</v>
      </c>
      <c r="FQ12" s="81">
        <f t="shared" si="213"/>
        <v>0</v>
      </c>
      <c r="FR12" s="77" t="s">
        <v>8</v>
      </c>
      <c r="FS12" s="31" t="s">
        <v>8</v>
      </c>
      <c r="FT12" s="36">
        <f t="shared" si="214"/>
        <v>0.70698718690818985</v>
      </c>
      <c r="FU12" s="34">
        <f t="shared" si="215"/>
        <v>3.5804958588199098E-2</v>
      </c>
      <c r="FV12" s="35">
        <f t="shared" si="216"/>
        <v>500542.38376485667</v>
      </c>
      <c r="FW12" s="81">
        <f t="shared" si="217"/>
        <v>0</v>
      </c>
      <c r="FX12" s="77" t="s">
        <v>8</v>
      </c>
      <c r="FY12" s="31" t="s">
        <v>8</v>
      </c>
      <c r="FZ12" s="36">
        <f t="shared" si="218"/>
        <v>0.70698718690818985</v>
      </c>
      <c r="GA12" s="34">
        <f t="shared" si="219"/>
        <v>3.5804958588199098E-2</v>
      </c>
      <c r="GB12" s="35">
        <f t="shared" si="220"/>
        <v>500542.38376485667</v>
      </c>
      <c r="GC12" s="81">
        <f t="shared" si="221"/>
        <v>0</v>
      </c>
      <c r="GD12" s="77" t="s">
        <v>8</v>
      </c>
      <c r="GE12" s="31" t="s">
        <v>8</v>
      </c>
      <c r="GF12" s="36">
        <f t="shared" si="222"/>
        <v>0.70698718690818985</v>
      </c>
      <c r="GG12" s="34">
        <f t="shared" si="223"/>
        <v>3.5804958588199098E-2</v>
      </c>
      <c r="GH12" s="35">
        <f t="shared" si="224"/>
        <v>500542.38376485667</v>
      </c>
      <c r="GI12" s="128">
        <f t="shared" si="225"/>
        <v>0</v>
      </c>
      <c r="GJ12" s="185">
        <f t="shared" si="227"/>
        <v>3535702.4518731465</v>
      </c>
      <c r="GK12" s="98">
        <f t="shared" si="228"/>
        <v>4254181.2071907362</v>
      </c>
      <c r="GL12" s="261">
        <f t="shared" si="226"/>
        <v>0.70698718690818974</v>
      </c>
      <c r="GM12" s="254"/>
      <c r="GN12" s="254"/>
      <c r="GO12" s="191"/>
    </row>
    <row r="13" spans="1:197" s="26" customFormat="1" ht="54.75" customHeight="1" thickBot="1" x14ac:dyDescent="0.3">
      <c r="A13" s="122" t="s">
        <v>178</v>
      </c>
      <c r="B13" s="162" t="s">
        <v>8</v>
      </c>
      <c r="C13" s="162" t="s">
        <v>8</v>
      </c>
      <c r="D13" s="162" t="s">
        <v>8</v>
      </c>
      <c r="E13" s="162" t="s">
        <v>8</v>
      </c>
      <c r="F13" s="162" t="s">
        <v>8</v>
      </c>
      <c r="G13" s="107">
        <f>'Исходные данные'!C15</f>
        <v>631</v>
      </c>
      <c r="H13" s="32">
        <f>'Исходные данные'!D15</f>
        <v>2072100</v>
      </c>
      <c r="I13" s="33">
        <f>'Расчет КРП'!E11</f>
        <v>3.8241583140580828</v>
      </c>
      <c r="J13" s="114" t="s">
        <v>8</v>
      </c>
      <c r="K13" s="118">
        <f t="shared" si="104"/>
        <v>0.29809526258212021</v>
      </c>
      <c r="L13" s="78">
        <f t="shared" si="105"/>
        <v>378430.79683255369</v>
      </c>
      <c r="M13" s="74">
        <f t="shared" si="106"/>
        <v>0.3525368569795726</v>
      </c>
      <c r="N13" s="31" t="s">
        <v>8</v>
      </c>
      <c r="O13" s="34">
        <f t="shared" si="107"/>
        <v>0.10918204517045077</v>
      </c>
      <c r="P13" s="182">
        <f t="shared" si="108"/>
        <v>916944.97756366094</v>
      </c>
      <c r="Q13" s="172">
        <f t="shared" si="109"/>
        <v>916944.97756366094</v>
      </c>
      <c r="R13" s="167" t="s">
        <v>8</v>
      </c>
      <c r="S13" s="31" t="s">
        <v>8</v>
      </c>
      <c r="T13" s="36">
        <f t="shared" si="110"/>
        <v>0.48444986979758131</v>
      </c>
      <c r="U13" s="34">
        <f t="shared" si="111"/>
        <v>8.0615713831361568E-2</v>
      </c>
      <c r="V13" s="54">
        <f t="shared" si="112"/>
        <v>734153.48521539231</v>
      </c>
      <c r="W13" s="81">
        <f t="shared" si="113"/>
        <v>734153.48521539231</v>
      </c>
      <c r="X13" s="77" t="s">
        <v>8</v>
      </c>
      <c r="Y13" s="31" t="s">
        <v>8</v>
      </c>
      <c r="Z13" s="36">
        <f t="shared" si="114"/>
        <v>0.59006623770977729</v>
      </c>
      <c r="AA13" s="34">
        <f t="shared" si="115"/>
        <v>4.8594439602782868E-2</v>
      </c>
      <c r="AB13" s="54">
        <f t="shared" si="116"/>
        <v>472697.64956594037</v>
      </c>
      <c r="AC13" s="81">
        <f t="shared" si="117"/>
        <v>472697.64956594037</v>
      </c>
      <c r="AD13" s="77" t="s">
        <v>8</v>
      </c>
      <c r="AE13" s="31" t="s">
        <v>8</v>
      </c>
      <c r="AF13" s="36">
        <f t="shared" si="118"/>
        <v>0.65806919604639702</v>
      </c>
      <c r="AG13" s="34">
        <f t="shared" si="119"/>
        <v>4.448893177565405E-2</v>
      </c>
      <c r="AH13" s="54">
        <f t="shared" si="120"/>
        <v>455549.94791090378</v>
      </c>
      <c r="AI13" s="81">
        <f t="shared" si="121"/>
        <v>340582.27211796888</v>
      </c>
      <c r="AJ13" s="77" t="s">
        <v>8</v>
      </c>
      <c r="AK13" s="31" t="s">
        <v>8</v>
      </c>
      <c r="AL13" s="36">
        <f t="shared" si="122"/>
        <v>0.70706584767412783</v>
      </c>
      <c r="AM13" s="34">
        <f t="shared" si="123"/>
        <v>3.5726297822261111E-2</v>
      </c>
      <c r="AN13" s="54">
        <f t="shared" si="124"/>
        <v>377594.16442736785</v>
      </c>
      <c r="AO13" s="81">
        <f t="shared" si="125"/>
        <v>0</v>
      </c>
      <c r="AP13" s="77" t="s">
        <v>8</v>
      </c>
      <c r="AQ13" s="31" t="s">
        <v>8</v>
      </c>
      <c r="AR13" s="36">
        <f t="shared" si="126"/>
        <v>0.70706584767412783</v>
      </c>
      <c r="AS13" s="34">
        <f t="shared" si="127"/>
        <v>3.5726297822261111E-2</v>
      </c>
      <c r="AT13" s="54">
        <f t="shared" si="128"/>
        <v>377594.16442736785</v>
      </c>
      <c r="AU13" s="80">
        <f t="shared" si="129"/>
        <v>0</v>
      </c>
      <c r="AV13" s="77" t="s">
        <v>8</v>
      </c>
      <c r="AW13" s="31" t="s">
        <v>8</v>
      </c>
      <c r="AX13" s="36">
        <f t="shared" si="130"/>
        <v>0.70706584767412783</v>
      </c>
      <c r="AY13" s="34">
        <f t="shared" si="131"/>
        <v>3.5726297822261111E-2</v>
      </c>
      <c r="AZ13" s="54">
        <f t="shared" si="132"/>
        <v>377594.16442736785</v>
      </c>
      <c r="BA13" s="81">
        <f t="shared" si="133"/>
        <v>0</v>
      </c>
      <c r="BB13" s="77" t="s">
        <v>8</v>
      </c>
      <c r="BC13" s="31" t="s">
        <v>8</v>
      </c>
      <c r="BD13" s="36">
        <f t="shared" si="134"/>
        <v>0.70706584767412783</v>
      </c>
      <c r="BE13" s="34">
        <f t="shared" si="135"/>
        <v>3.5726297822261111E-2</v>
      </c>
      <c r="BF13" s="54">
        <f t="shared" si="136"/>
        <v>377594.16442736785</v>
      </c>
      <c r="BG13" s="81">
        <f t="shared" si="137"/>
        <v>0</v>
      </c>
      <c r="BH13" s="77" t="s">
        <v>8</v>
      </c>
      <c r="BI13" s="31" t="s">
        <v>8</v>
      </c>
      <c r="BJ13" s="36">
        <f t="shared" si="138"/>
        <v>0.70706584767412783</v>
      </c>
      <c r="BK13" s="34">
        <f t="shared" si="139"/>
        <v>3.5726297822261111E-2</v>
      </c>
      <c r="BL13" s="54">
        <f t="shared" si="140"/>
        <v>377594.16442736785</v>
      </c>
      <c r="BM13" s="81">
        <f t="shared" si="141"/>
        <v>0</v>
      </c>
      <c r="BN13" s="77" t="s">
        <v>8</v>
      </c>
      <c r="BO13" s="31" t="s">
        <v>8</v>
      </c>
      <c r="BP13" s="36">
        <f t="shared" si="142"/>
        <v>0.70706584767412783</v>
      </c>
      <c r="BQ13" s="34">
        <f t="shared" si="143"/>
        <v>3.5726297822261111E-2</v>
      </c>
      <c r="BR13" s="54">
        <f t="shared" si="144"/>
        <v>377594.16442736785</v>
      </c>
      <c r="BS13" s="128">
        <f t="shared" si="145"/>
        <v>0</v>
      </c>
      <c r="BT13" s="77" t="s">
        <v>8</v>
      </c>
      <c r="BU13" s="31" t="s">
        <v>8</v>
      </c>
      <c r="BV13" s="36">
        <f t="shared" si="146"/>
        <v>0.70706584767412783</v>
      </c>
      <c r="BW13" s="34">
        <f t="shared" si="147"/>
        <v>3.5726297822261111E-2</v>
      </c>
      <c r="BX13" s="54">
        <f t="shared" si="148"/>
        <v>377594.16442736785</v>
      </c>
      <c r="BY13" s="128">
        <f t="shared" si="149"/>
        <v>0</v>
      </c>
      <c r="BZ13" s="77" t="s">
        <v>8</v>
      </c>
      <c r="CA13" s="31" t="s">
        <v>8</v>
      </c>
      <c r="CB13" s="36">
        <f t="shared" si="150"/>
        <v>0.70706584767412783</v>
      </c>
      <c r="CC13" s="34">
        <f t="shared" si="151"/>
        <v>3.5726297822261111E-2</v>
      </c>
      <c r="CD13" s="54">
        <f t="shared" si="152"/>
        <v>377594.16442736785</v>
      </c>
      <c r="CE13" s="128">
        <f t="shared" si="153"/>
        <v>0</v>
      </c>
      <c r="CF13" s="77" t="s">
        <v>8</v>
      </c>
      <c r="CG13" s="31" t="s">
        <v>8</v>
      </c>
      <c r="CH13" s="36">
        <f t="shared" si="154"/>
        <v>0.70706584767412783</v>
      </c>
      <c r="CI13" s="34">
        <f t="shared" si="155"/>
        <v>3.5726297822261111E-2</v>
      </c>
      <c r="CJ13" s="54">
        <f t="shared" si="156"/>
        <v>377594.16442736785</v>
      </c>
      <c r="CK13" s="128">
        <f t="shared" si="157"/>
        <v>0</v>
      </c>
      <c r="CL13" s="77" t="s">
        <v>8</v>
      </c>
      <c r="CM13" s="31" t="s">
        <v>8</v>
      </c>
      <c r="CN13" s="36">
        <f t="shared" si="158"/>
        <v>0.70706584767412783</v>
      </c>
      <c r="CO13" s="34">
        <f t="shared" si="159"/>
        <v>3.5726297822261111E-2</v>
      </c>
      <c r="CP13" s="54">
        <f t="shared" si="160"/>
        <v>377594.16442736785</v>
      </c>
      <c r="CQ13" s="128">
        <f t="shared" si="161"/>
        <v>0</v>
      </c>
      <c r="CR13" s="77" t="s">
        <v>8</v>
      </c>
      <c r="CS13" s="31" t="s">
        <v>8</v>
      </c>
      <c r="CT13" s="36">
        <f t="shared" si="162"/>
        <v>0.70706584767412783</v>
      </c>
      <c r="CU13" s="34">
        <f t="shared" si="163"/>
        <v>3.5726297822261111E-2</v>
      </c>
      <c r="CV13" s="54">
        <f t="shared" si="164"/>
        <v>377594.16442736785</v>
      </c>
      <c r="CW13" s="128">
        <f t="shared" si="165"/>
        <v>0</v>
      </c>
      <c r="CX13" s="77" t="s">
        <v>8</v>
      </c>
      <c r="CY13" s="31" t="s">
        <v>8</v>
      </c>
      <c r="CZ13" s="36">
        <f t="shared" si="166"/>
        <v>0.70706584767412783</v>
      </c>
      <c r="DA13" s="34">
        <f t="shared" si="167"/>
        <v>3.5726297822261111E-2</v>
      </c>
      <c r="DB13" s="54">
        <f t="shared" si="168"/>
        <v>377594.16442736785</v>
      </c>
      <c r="DC13" s="128">
        <f t="shared" si="169"/>
        <v>0</v>
      </c>
      <c r="DD13" s="77" t="s">
        <v>8</v>
      </c>
      <c r="DE13" s="31" t="s">
        <v>8</v>
      </c>
      <c r="DF13" s="36">
        <f t="shared" si="170"/>
        <v>0.70706584767412783</v>
      </c>
      <c r="DG13" s="34">
        <f t="shared" si="171"/>
        <v>3.5726297822261111E-2</v>
      </c>
      <c r="DH13" s="54">
        <f t="shared" si="172"/>
        <v>377594.16442736785</v>
      </c>
      <c r="DI13" s="128">
        <f t="shared" si="173"/>
        <v>0</v>
      </c>
      <c r="DJ13" s="77" t="s">
        <v>8</v>
      </c>
      <c r="DK13" s="31" t="s">
        <v>8</v>
      </c>
      <c r="DL13" s="36">
        <f t="shared" si="174"/>
        <v>0.70706584767412783</v>
      </c>
      <c r="DM13" s="34">
        <f t="shared" si="175"/>
        <v>3.5726297822261111E-2</v>
      </c>
      <c r="DN13" s="54">
        <f t="shared" si="176"/>
        <v>377594.16442736785</v>
      </c>
      <c r="DO13" s="128">
        <f t="shared" si="177"/>
        <v>0</v>
      </c>
      <c r="DP13" s="77" t="s">
        <v>8</v>
      </c>
      <c r="DQ13" s="31" t="s">
        <v>8</v>
      </c>
      <c r="DR13" s="36">
        <f t="shared" si="178"/>
        <v>0.70706584767412783</v>
      </c>
      <c r="DS13" s="34">
        <f t="shared" si="179"/>
        <v>3.5726297822261111E-2</v>
      </c>
      <c r="DT13" s="54">
        <f t="shared" si="180"/>
        <v>377594.16442736785</v>
      </c>
      <c r="DU13" s="128">
        <f t="shared" si="181"/>
        <v>0</v>
      </c>
      <c r="DV13" s="77" t="s">
        <v>8</v>
      </c>
      <c r="DW13" s="31" t="s">
        <v>8</v>
      </c>
      <c r="DX13" s="36">
        <f t="shared" si="182"/>
        <v>0.70706584767412783</v>
      </c>
      <c r="DY13" s="34">
        <f t="shared" si="183"/>
        <v>3.5726297822261111E-2</v>
      </c>
      <c r="DZ13" s="35">
        <f t="shared" si="184"/>
        <v>377594.16442736785</v>
      </c>
      <c r="EA13" s="81">
        <f t="shared" si="185"/>
        <v>0</v>
      </c>
      <c r="EB13" s="77" t="s">
        <v>8</v>
      </c>
      <c r="EC13" s="31" t="s">
        <v>8</v>
      </c>
      <c r="ED13" s="36">
        <f t="shared" si="186"/>
        <v>0.70706584767412783</v>
      </c>
      <c r="EE13" s="34">
        <f t="shared" si="187"/>
        <v>3.5726297822261111E-2</v>
      </c>
      <c r="EF13" s="35">
        <f t="shared" si="188"/>
        <v>377594.16442736785</v>
      </c>
      <c r="EG13" s="81">
        <f t="shared" si="189"/>
        <v>0</v>
      </c>
      <c r="EH13" s="77" t="s">
        <v>8</v>
      </c>
      <c r="EI13" s="31" t="s">
        <v>8</v>
      </c>
      <c r="EJ13" s="36">
        <f t="shared" si="190"/>
        <v>0.70706584767412783</v>
      </c>
      <c r="EK13" s="34">
        <f t="shared" si="191"/>
        <v>3.5726297822261111E-2</v>
      </c>
      <c r="EL13" s="35">
        <f t="shared" si="192"/>
        <v>377594.16442736785</v>
      </c>
      <c r="EM13" s="81">
        <f t="shared" si="193"/>
        <v>0</v>
      </c>
      <c r="EN13" s="77" t="s">
        <v>8</v>
      </c>
      <c r="EO13" s="31" t="s">
        <v>8</v>
      </c>
      <c r="EP13" s="36">
        <f t="shared" si="194"/>
        <v>0.70706584767412783</v>
      </c>
      <c r="EQ13" s="34">
        <f t="shared" si="195"/>
        <v>3.5726297822261111E-2</v>
      </c>
      <c r="ER13" s="35">
        <f t="shared" si="196"/>
        <v>377594.16442736785</v>
      </c>
      <c r="ES13" s="81">
        <f t="shared" si="197"/>
        <v>0</v>
      </c>
      <c r="ET13" s="77" t="s">
        <v>8</v>
      </c>
      <c r="EU13" s="31" t="s">
        <v>8</v>
      </c>
      <c r="EV13" s="36">
        <f t="shared" si="198"/>
        <v>0.70706584767412783</v>
      </c>
      <c r="EW13" s="34">
        <f t="shared" si="199"/>
        <v>3.5726297822261111E-2</v>
      </c>
      <c r="EX13" s="35">
        <f t="shared" si="200"/>
        <v>377594.16442736785</v>
      </c>
      <c r="EY13" s="81">
        <f t="shared" si="201"/>
        <v>0</v>
      </c>
      <c r="EZ13" s="77" t="s">
        <v>8</v>
      </c>
      <c r="FA13" s="31" t="s">
        <v>8</v>
      </c>
      <c r="FB13" s="36">
        <f t="shared" si="202"/>
        <v>0.70706584767412783</v>
      </c>
      <c r="FC13" s="34">
        <f t="shared" si="203"/>
        <v>3.5726297822261111E-2</v>
      </c>
      <c r="FD13" s="35">
        <f t="shared" si="204"/>
        <v>377594.16442736785</v>
      </c>
      <c r="FE13" s="81">
        <f t="shared" si="205"/>
        <v>0</v>
      </c>
      <c r="FF13" s="77" t="s">
        <v>8</v>
      </c>
      <c r="FG13" s="31" t="s">
        <v>8</v>
      </c>
      <c r="FH13" s="36">
        <f t="shared" si="206"/>
        <v>0.70706584767412783</v>
      </c>
      <c r="FI13" s="34">
        <f t="shared" si="207"/>
        <v>3.5726297822261111E-2</v>
      </c>
      <c r="FJ13" s="35">
        <f t="shared" si="208"/>
        <v>377594.16442736785</v>
      </c>
      <c r="FK13" s="81">
        <f t="shared" si="209"/>
        <v>0</v>
      </c>
      <c r="FL13" s="77" t="s">
        <v>8</v>
      </c>
      <c r="FM13" s="31" t="s">
        <v>8</v>
      </c>
      <c r="FN13" s="36">
        <f t="shared" si="210"/>
        <v>0.70706584767412783</v>
      </c>
      <c r="FO13" s="34">
        <f t="shared" si="211"/>
        <v>3.5726297822261111E-2</v>
      </c>
      <c r="FP13" s="35">
        <f t="shared" si="212"/>
        <v>377594.16442736785</v>
      </c>
      <c r="FQ13" s="81">
        <f t="shared" si="213"/>
        <v>0</v>
      </c>
      <c r="FR13" s="77" t="s">
        <v>8</v>
      </c>
      <c r="FS13" s="31" t="s">
        <v>8</v>
      </c>
      <c r="FT13" s="36">
        <f t="shared" si="214"/>
        <v>0.70706584767412783</v>
      </c>
      <c r="FU13" s="34">
        <f t="shared" si="215"/>
        <v>3.5726297822261111E-2</v>
      </c>
      <c r="FV13" s="35">
        <f t="shared" si="216"/>
        <v>377594.16442736785</v>
      </c>
      <c r="FW13" s="81">
        <f t="shared" si="217"/>
        <v>0</v>
      </c>
      <c r="FX13" s="77" t="s">
        <v>8</v>
      </c>
      <c r="FY13" s="31" t="s">
        <v>8</v>
      </c>
      <c r="FZ13" s="36">
        <f t="shared" si="218"/>
        <v>0.70706584767412783</v>
      </c>
      <c r="GA13" s="34">
        <f t="shared" si="219"/>
        <v>3.5726297822261111E-2</v>
      </c>
      <c r="GB13" s="35">
        <f t="shared" si="220"/>
        <v>377594.16442736785</v>
      </c>
      <c r="GC13" s="81">
        <f t="shared" si="221"/>
        <v>0</v>
      </c>
      <c r="GD13" s="77" t="s">
        <v>8</v>
      </c>
      <c r="GE13" s="31" t="s">
        <v>8</v>
      </c>
      <c r="GF13" s="36">
        <f t="shared" si="222"/>
        <v>0.70706584767412783</v>
      </c>
      <c r="GG13" s="34">
        <f t="shared" si="223"/>
        <v>3.5726297822261111E-2</v>
      </c>
      <c r="GH13" s="35">
        <f t="shared" si="224"/>
        <v>377594.16442736785</v>
      </c>
      <c r="GI13" s="128">
        <f t="shared" si="225"/>
        <v>0</v>
      </c>
      <c r="GJ13" s="185">
        <f t="shared" si="227"/>
        <v>2464378.3844629629</v>
      </c>
      <c r="GK13" s="98">
        <f t="shared" si="228"/>
        <v>2842809.1812955164</v>
      </c>
      <c r="GL13" s="261">
        <f t="shared" si="226"/>
        <v>0.70706584767412795</v>
      </c>
      <c r="GM13" s="254"/>
      <c r="GN13" s="254"/>
      <c r="GO13" s="191"/>
    </row>
    <row r="14" spans="1:197" s="26" customFormat="1" ht="48" thickBot="1" x14ac:dyDescent="0.3">
      <c r="A14" s="122" t="s">
        <v>179</v>
      </c>
      <c r="B14" s="162" t="s">
        <v>8</v>
      </c>
      <c r="C14" s="162" t="s">
        <v>8</v>
      </c>
      <c r="D14" s="162" t="s">
        <v>8</v>
      </c>
      <c r="E14" s="162" t="s">
        <v>8</v>
      </c>
      <c r="F14" s="162" t="s">
        <v>8</v>
      </c>
      <c r="G14" s="107">
        <f>'Исходные данные'!C16</f>
        <v>1963</v>
      </c>
      <c r="H14" s="32">
        <f>'Исходные данные'!D16</f>
        <v>4120815</v>
      </c>
      <c r="I14" s="33">
        <f>'Расчет КРП'!E12</f>
        <v>1.80254433307633</v>
      </c>
      <c r="J14" s="114" t="s">
        <v>8</v>
      </c>
      <c r="K14" s="118">
        <f t="shared" si="104"/>
        <v>0.40428390228136513</v>
      </c>
      <c r="L14" s="78">
        <f t="shared" si="105"/>
        <v>1177273.6199402581</v>
      </c>
      <c r="M14" s="74">
        <f t="shared" si="106"/>
        <v>0.5197835724005907</v>
      </c>
      <c r="N14" s="31" t="s">
        <v>8</v>
      </c>
      <c r="O14" s="34">
        <f t="shared" si="107"/>
        <v>-5.806467025056733E-2</v>
      </c>
      <c r="P14" s="182">
        <f t="shared" si="108"/>
        <v>0</v>
      </c>
      <c r="Q14" s="172">
        <f t="shared" si="109"/>
        <v>0</v>
      </c>
      <c r="R14" s="167" t="s">
        <v>8</v>
      </c>
      <c r="S14" s="31" t="s">
        <v>8</v>
      </c>
      <c r="T14" s="36">
        <f t="shared" si="110"/>
        <v>0.5197835724005907</v>
      </c>
      <c r="U14" s="34">
        <f t="shared" si="111"/>
        <v>4.5282011228352181E-2</v>
      </c>
      <c r="V14" s="54">
        <f t="shared" si="112"/>
        <v>604691.5519049752</v>
      </c>
      <c r="W14" s="81">
        <f t="shared" si="113"/>
        <v>604691.5519049752</v>
      </c>
      <c r="X14" s="77" t="s">
        <v>8</v>
      </c>
      <c r="Y14" s="31" t="s">
        <v>8</v>
      </c>
      <c r="Z14" s="36">
        <f t="shared" si="114"/>
        <v>0.57910850212461806</v>
      </c>
      <c r="AA14" s="34">
        <f t="shared" si="115"/>
        <v>5.9552175187942091E-2</v>
      </c>
      <c r="AB14" s="54">
        <f t="shared" si="116"/>
        <v>849445.51152533782</v>
      </c>
      <c r="AC14" s="81">
        <f t="shared" si="117"/>
        <v>849445.51152533782</v>
      </c>
      <c r="AD14" s="77" t="s">
        <v>8</v>
      </c>
      <c r="AE14" s="31" t="s">
        <v>8</v>
      </c>
      <c r="AF14" s="36">
        <f t="shared" si="118"/>
        <v>0.6624456929897391</v>
      </c>
      <c r="AG14" s="34">
        <f t="shared" si="119"/>
        <v>4.0112434832311972E-2</v>
      </c>
      <c r="AH14" s="54">
        <f t="shared" si="120"/>
        <v>602287.81919015327</v>
      </c>
      <c r="AI14" s="81">
        <f t="shared" si="121"/>
        <v>450287.7343515309</v>
      </c>
      <c r="AJ14" s="77" t="s">
        <v>8</v>
      </c>
      <c r="AK14" s="31" t="s">
        <v>8</v>
      </c>
      <c r="AL14" s="36">
        <f t="shared" si="122"/>
        <v>0.70662241104019063</v>
      </c>
      <c r="AM14" s="34">
        <f t="shared" si="123"/>
        <v>3.616973445619831E-2</v>
      </c>
      <c r="AN14" s="54">
        <f t="shared" si="124"/>
        <v>560561.94587823621</v>
      </c>
      <c r="AO14" s="81">
        <f t="shared" si="125"/>
        <v>0</v>
      </c>
      <c r="AP14" s="77" t="s">
        <v>8</v>
      </c>
      <c r="AQ14" s="31" t="s">
        <v>8</v>
      </c>
      <c r="AR14" s="36">
        <f t="shared" si="126"/>
        <v>0.70662241104019063</v>
      </c>
      <c r="AS14" s="34">
        <f t="shared" si="127"/>
        <v>3.616973445619831E-2</v>
      </c>
      <c r="AT14" s="54">
        <f t="shared" si="128"/>
        <v>560561.94587823621</v>
      </c>
      <c r="AU14" s="80">
        <f t="shared" si="129"/>
        <v>0</v>
      </c>
      <c r="AV14" s="77" t="s">
        <v>8</v>
      </c>
      <c r="AW14" s="31" t="s">
        <v>8</v>
      </c>
      <c r="AX14" s="36">
        <f t="shared" si="130"/>
        <v>0.70662241104019063</v>
      </c>
      <c r="AY14" s="34">
        <f t="shared" si="131"/>
        <v>3.616973445619831E-2</v>
      </c>
      <c r="AZ14" s="54">
        <f t="shared" si="132"/>
        <v>560561.94587823621</v>
      </c>
      <c r="BA14" s="81">
        <f t="shared" si="133"/>
        <v>0</v>
      </c>
      <c r="BB14" s="77" t="s">
        <v>8</v>
      </c>
      <c r="BC14" s="31" t="s">
        <v>8</v>
      </c>
      <c r="BD14" s="36">
        <f t="shared" si="134"/>
        <v>0.70662241104019063</v>
      </c>
      <c r="BE14" s="34">
        <f t="shared" si="135"/>
        <v>3.616973445619831E-2</v>
      </c>
      <c r="BF14" s="54">
        <f t="shared" si="136"/>
        <v>560561.94587823621</v>
      </c>
      <c r="BG14" s="81">
        <f t="shared" si="137"/>
        <v>0</v>
      </c>
      <c r="BH14" s="77" t="s">
        <v>8</v>
      </c>
      <c r="BI14" s="31" t="s">
        <v>8</v>
      </c>
      <c r="BJ14" s="36">
        <f t="shared" si="138"/>
        <v>0.70662241104019063</v>
      </c>
      <c r="BK14" s="34">
        <f t="shared" si="139"/>
        <v>3.616973445619831E-2</v>
      </c>
      <c r="BL14" s="54">
        <f t="shared" si="140"/>
        <v>560561.94587823621</v>
      </c>
      <c r="BM14" s="81">
        <f t="shared" si="141"/>
        <v>0</v>
      </c>
      <c r="BN14" s="77" t="s">
        <v>8</v>
      </c>
      <c r="BO14" s="31" t="s">
        <v>8</v>
      </c>
      <c r="BP14" s="36">
        <f t="shared" si="142"/>
        <v>0.70662241104019063</v>
      </c>
      <c r="BQ14" s="34">
        <f t="shared" si="143"/>
        <v>3.616973445619831E-2</v>
      </c>
      <c r="BR14" s="54">
        <f t="shared" si="144"/>
        <v>560561.94587823621</v>
      </c>
      <c r="BS14" s="128">
        <f t="shared" si="145"/>
        <v>0</v>
      </c>
      <c r="BT14" s="77" t="s">
        <v>8</v>
      </c>
      <c r="BU14" s="31" t="s">
        <v>8</v>
      </c>
      <c r="BV14" s="36">
        <f t="shared" si="146"/>
        <v>0.70662241104019063</v>
      </c>
      <c r="BW14" s="34">
        <f t="shared" si="147"/>
        <v>3.616973445619831E-2</v>
      </c>
      <c r="BX14" s="54">
        <f t="shared" si="148"/>
        <v>560561.94587823621</v>
      </c>
      <c r="BY14" s="128">
        <f t="shared" si="149"/>
        <v>0</v>
      </c>
      <c r="BZ14" s="77" t="s">
        <v>8</v>
      </c>
      <c r="CA14" s="31" t="s">
        <v>8</v>
      </c>
      <c r="CB14" s="36">
        <f t="shared" si="150"/>
        <v>0.70662241104019063</v>
      </c>
      <c r="CC14" s="34">
        <f t="shared" si="151"/>
        <v>3.616973445619831E-2</v>
      </c>
      <c r="CD14" s="54">
        <f t="shared" si="152"/>
        <v>560561.94587823621</v>
      </c>
      <c r="CE14" s="128">
        <f t="shared" si="153"/>
        <v>0</v>
      </c>
      <c r="CF14" s="77" t="s">
        <v>8</v>
      </c>
      <c r="CG14" s="31" t="s">
        <v>8</v>
      </c>
      <c r="CH14" s="36">
        <f t="shared" si="154"/>
        <v>0.70662241104019063</v>
      </c>
      <c r="CI14" s="34">
        <f t="shared" si="155"/>
        <v>3.616973445619831E-2</v>
      </c>
      <c r="CJ14" s="54">
        <f t="shared" si="156"/>
        <v>560561.94587823621</v>
      </c>
      <c r="CK14" s="128">
        <f t="shared" si="157"/>
        <v>0</v>
      </c>
      <c r="CL14" s="77" t="s">
        <v>8</v>
      </c>
      <c r="CM14" s="31" t="s">
        <v>8</v>
      </c>
      <c r="CN14" s="36">
        <f t="shared" si="158"/>
        <v>0.70662241104019063</v>
      </c>
      <c r="CO14" s="34">
        <f t="shared" si="159"/>
        <v>3.616973445619831E-2</v>
      </c>
      <c r="CP14" s="54">
        <f t="shared" si="160"/>
        <v>560561.94587823621</v>
      </c>
      <c r="CQ14" s="128">
        <f t="shared" si="161"/>
        <v>0</v>
      </c>
      <c r="CR14" s="77" t="s">
        <v>8</v>
      </c>
      <c r="CS14" s="31" t="s">
        <v>8</v>
      </c>
      <c r="CT14" s="36">
        <f t="shared" si="162"/>
        <v>0.70662241104019063</v>
      </c>
      <c r="CU14" s="34">
        <f t="shared" si="163"/>
        <v>3.616973445619831E-2</v>
      </c>
      <c r="CV14" s="54">
        <f t="shared" si="164"/>
        <v>560561.94587823621</v>
      </c>
      <c r="CW14" s="128">
        <f t="shared" si="165"/>
        <v>0</v>
      </c>
      <c r="CX14" s="77" t="s">
        <v>8</v>
      </c>
      <c r="CY14" s="31" t="s">
        <v>8</v>
      </c>
      <c r="CZ14" s="36">
        <f t="shared" si="166"/>
        <v>0.70662241104019063</v>
      </c>
      <c r="DA14" s="34">
        <f t="shared" si="167"/>
        <v>3.616973445619831E-2</v>
      </c>
      <c r="DB14" s="54">
        <f t="shared" si="168"/>
        <v>560561.94587823621</v>
      </c>
      <c r="DC14" s="128">
        <f t="shared" si="169"/>
        <v>0</v>
      </c>
      <c r="DD14" s="77" t="s">
        <v>8</v>
      </c>
      <c r="DE14" s="31" t="s">
        <v>8</v>
      </c>
      <c r="DF14" s="36">
        <f t="shared" si="170"/>
        <v>0.70662241104019063</v>
      </c>
      <c r="DG14" s="34">
        <f t="shared" si="171"/>
        <v>3.616973445619831E-2</v>
      </c>
      <c r="DH14" s="54">
        <f t="shared" si="172"/>
        <v>560561.94587823621</v>
      </c>
      <c r="DI14" s="128">
        <f t="shared" si="173"/>
        <v>0</v>
      </c>
      <c r="DJ14" s="77" t="s">
        <v>8</v>
      </c>
      <c r="DK14" s="31" t="s">
        <v>8</v>
      </c>
      <c r="DL14" s="36">
        <f t="shared" si="174"/>
        <v>0.70662241104019063</v>
      </c>
      <c r="DM14" s="34">
        <f t="shared" si="175"/>
        <v>3.616973445619831E-2</v>
      </c>
      <c r="DN14" s="54">
        <f t="shared" si="176"/>
        <v>560561.94587823621</v>
      </c>
      <c r="DO14" s="128">
        <f t="shared" si="177"/>
        <v>0</v>
      </c>
      <c r="DP14" s="77" t="s">
        <v>8</v>
      </c>
      <c r="DQ14" s="31" t="s">
        <v>8</v>
      </c>
      <c r="DR14" s="36">
        <f t="shared" si="178"/>
        <v>0.70662241104019063</v>
      </c>
      <c r="DS14" s="34">
        <f t="shared" si="179"/>
        <v>3.616973445619831E-2</v>
      </c>
      <c r="DT14" s="54">
        <f t="shared" si="180"/>
        <v>560561.94587823621</v>
      </c>
      <c r="DU14" s="128">
        <f t="shared" si="181"/>
        <v>0</v>
      </c>
      <c r="DV14" s="77" t="s">
        <v>8</v>
      </c>
      <c r="DW14" s="31" t="s">
        <v>8</v>
      </c>
      <c r="DX14" s="36">
        <f t="shared" si="182"/>
        <v>0.70662241104019063</v>
      </c>
      <c r="DY14" s="34">
        <f t="shared" si="183"/>
        <v>3.616973445619831E-2</v>
      </c>
      <c r="DZ14" s="35">
        <f t="shared" si="184"/>
        <v>560561.94587823621</v>
      </c>
      <c r="EA14" s="81">
        <f t="shared" si="185"/>
        <v>0</v>
      </c>
      <c r="EB14" s="77" t="s">
        <v>8</v>
      </c>
      <c r="EC14" s="31" t="s">
        <v>8</v>
      </c>
      <c r="ED14" s="36">
        <f t="shared" si="186"/>
        <v>0.70662241104019063</v>
      </c>
      <c r="EE14" s="34">
        <f t="shared" si="187"/>
        <v>3.616973445619831E-2</v>
      </c>
      <c r="EF14" s="35">
        <f t="shared" si="188"/>
        <v>560561.94587823621</v>
      </c>
      <c r="EG14" s="81">
        <f t="shared" si="189"/>
        <v>0</v>
      </c>
      <c r="EH14" s="77" t="s">
        <v>8</v>
      </c>
      <c r="EI14" s="31" t="s">
        <v>8</v>
      </c>
      <c r="EJ14" s="36">
        <f t="shared" si="190"/>
        <v>0.70662241104019063</v>
      </c>
      <c r="EK14" s="34">
        <f t="shared" si="191"/>
        <v>3.616973445619831E-2</v>
      </c>
      <c r="EL14" s="35">
        <f t="shared" si="192"/>
        <v>560561.94587823621</v>
      </c>
      <c r="EM14" s="81">
        <f t="shared" si="193"/>
        <v>0</v>
      </c>
      <c r="EN14" s="77" t="s">
        <v>8</v>
      </c>
      <c r="EO14" s="31" t="s">
        <v>8</v>
      </c>
      <c r="EP14" s="36">
        <f t="shared" si="194"/>
        <v>0.70662241104019063</v>
      </c>
      <c r="EQ14" s="34">
        <f t="shared" si="195"/>
        <v>3.616973445619831E-2</v>
      </c>
      <c r="ER14" s="35">
        <f t="shared" si="196"/>
        <v>560561.94587823621</v>
      </c>
      <c r="ES14" s="81">
        <f t="shared" si="197"/>
        <v>0</v>
      </c>
      <c r="ET14" s="77" t="s">
        <v>8</v>
      </c>
      <c r="EU14" s="31" t="s">
        <v>8</v>
      </c>
      <c r="EV14" s="36">
        <f t="shared" si="198"/>
        <v>0.70662241104019063</v>
      </c>
      <c r="EW14" s="34">
        <f t="shared" si="199"/>
        <v>3.616973445619831E-2</v>
      </c>
      <c r="EX14" s="35">
        <f t="shared" si="200"/>
        <v>560561.94587823621</v>
      </c>
      <c r="EY14" s="81">
        <f t="shared" si="201"/>
        <v>0</v>
      </c>
      <c r="EZ14" s="77" t="s">
        <v>8</v>
      </c>
      <c r="FA14" s="31" t="s">
        <v>8</v>
      </c>
      <c r="FB14" s="36">
        <f t="shared" si="202"/>
        <v>0.70662241104019063</v>
      </c>
      <c r="FC14" s="34">
        <f t="shared" si="203"/>
        <v>3.616973445619831E-2</v>
      </c>
      <c r="FD14" s="35">
        <f t="shared" si="204"/>
        <v>560561.94587823621</v>
      </c>
      <c r="FE14" s="81">
        <f t="shared" si="205"/>
        <v>0</v>
      </c>
      <c r="FF14" s="77" t="s">
        <v>8</v>
      </c>
      <c r="FG14" s="31" t="s">
        <v>8</v>
      </c>
      <c r="FH14" s="36">
        <f t="shared" si="206"/>
        <v>0.70662241104019063</v>
      </c>
      <c r="FI14" s="34">
        <f t="shared" si="207"/>
        <v>3.616973445619831E-2</v>
      </c>
      <c r="FJ14" s="35">
        <f t="shared" si="208"/>
        <v>560561.94587823621</v>
      </c>
      <c r="FK14" s="81">
        <f t="shared" si="209"/>
        <v>0</v>
      </c>
      <c r="FL14" s="77" t="s">
        <v>8</v>
      </c>
      <c r="FM14" s="31" t="s">
        <v>8</v>
      </c>
      <c r="FN14" s="36">
        <f t="shared" si="210"/>
        <v>0.70662241104019063</v>
      </c>
      <c r="FO14" s="34">
        <f t="shared" si="211"/>
        <v>3.616973445619831E-2</v>
      </c>
      <c r="FP14" s="35">
        <f t="shared" si="212"/>
        <v>560561.94587823621</v>
      </c>
      <c r="FQ14" s="81">
        <f t="shared" si="213"/>
        <v>0</v>
      </c>
      <c r="FR14" s="77" t="s">
        <v>8</v>
      </c>
      <c r="FS14" s="31" t="s">
        <v>8</v>
      </c>
      <c r="FT14" s="36">
        <f t="shared" si="214"/>
        <v>0.70662241104019063</v>
      </c>
      <c r="FU14" s="34">
        <f t="shared" si="215"/>
        <v>3.616973445619831E-2</v>
      </c>
      <c r="FV14" s="35">
        <f t="shared" si="216"/>
        <v>560561.94587823621</v>
      </c>
      <c r="FW14" s="81">
        <f t="shared" si="217"/>
        <v>0</v>
      </c>
      <c r="FX14" s="77" t="s">
        <v>8</v>
      </c>
      <c r="FY14" s="31" t="s">
        <v>8</v>
      </c>
      <c r="FZ14" s="36">
        <f t="shared" si="218"/>
        <v>0.70662241104019063</v>
      </c>
      <c r="GA14" s="34">
        <f t="shared" si="219"/>
        <v>3.616973445619831E-2</v>
      </c>
      <c r="GB14" s="35">
        <f t="shared" si="220"/>
        <v>560561.94587823621</v>
      </c>
      <c r="GC14" s="81">
        <f t="shared" si="221"/>
        <v>0</v>
      </c>
      <c r="GD14" s="77" t="s">
        <v>8</v>
      </c>
      <c r="GE14" s="31" t="s">
        <v>8</v>
      </c>
      <c r="GF14" s="36">
        <f t="shared" si="222"/>
        <v>0.70662241104019063</v>
      </c>
      <c r="GG14" s="34">
        <f t="shared" si="223"/>
        <v>3.616973445619831E-2</v>
      </c>
      <c r="GH14" s="35">
        <f t="shared" si="224"/>
        <v>560561.94587823621</v>
      </c>
      <c r="GI14" s="128">
        <f t="shared" si="225"/>
        <v>0</v>
      </c>
      <c r="GJ14" s="185">
        <f t="shared" si="227"/>
        <v>1904424.7977818439</v>
      </c>
      <c r="GK14" s="98">
        <f t="shared" si="228"/>
        <v>3081698.4177221023</v>
      </c>
      <c r="GL14" s="261">
        <f t="shared" si="226"/>
        <v>0.70662241104019063</v>
      </c>
      <c r="GM14" s="254"/>
      <c r="GN14" s="254"/>
      <c r="GO14" s="191"/>
    </row>
    <row r="15" spans="1:197" s="26" customFormat="1" ht="63.75" thickBot="1" x14ac:dyDescent="0.3">
      <c r="A15" s="122" t="s">
        <v>180</v>
      </c>
      <c r="B15" s="162" t="s">
        <v>8</v>
      </c>
      <c r="C15" s="162" t="s">
        <v>8</v>
      </c>
      <c r="D15" s="162" t="s">
        <v>8</v>
      </c>
      <c r="E15" s="162" t="s">
        <v>8</v>
      </c>
      <c r="F15" s="162" t="s">
        <v>8</v>
      </c>
      <c r="G15" s="107">
        <f>'Исходные данные'!C17</f>
        <v>587</v>
      </c>
      <c r="H15" s="32">
        <f>'Исходные данные'!D17</f>
        <v>927591</v>
      </c>
      <c r="I15" s="33">
        <f>'Расчет КРП'!E13</f>
        <v>3.6547288614751992</v>
      </c>
      <c r="J15" s="114" t="s">
        <v>8</v>
      </c>
      <c r="K15" s="118">
        <f t="shared" si="104"/>
        <v>0.15009728885990789</v>
      </c>
      <c r="L15" s="78">
        <f t="shared" si="105"/>
        <v>352042.5954686355</v>
      </c>
      <c r="M15" s="74">
        <f t="shared" si="106"/>
        <v>0.20706273930417421</v>
      </c>
      <c r="N15" s="31" t="s">
        <v>8</v>
      </c>
      <c r="O15" s="34">
        <f t="shared" si="107"/>
        <v>0.25465616284584913</v>
      </c>
      <c r="P15" s="182">
        <f t="shared" si="108"/>
        <v>1901403.4762462517</v>
      </c>
      <c r="Q15" s="172">
        <f t="shared" si="109"/>
        <v>1901403.4762462517</v>
      </c>
      <c r="R15" s="167" t="s">
        <v>8</v>
      </c>
      <c r="S15" s="31" t="s">
        <v>8</v>
      </c>
      <c r="T15" s="36">
        <f t="shared" si="110"/>
        <v>0.51473660290717016</v>
      </c>
      <c r="U15" s="34">
        <f t="shared" si="111"/>
        <v>5.032898072177272E-2</v>
      </c>
      <c r="V15" s="54">
        <f t="shared" si="112"/>
        <v>407486.60563752183</v>
      </c>
      <c r="W15" s="81">
        <f t="shared" si="113"/>
        <v>407486.60563752183</v>
      </c>
      <c r="X15" s="77" t="s">
        <v>8</v>
      </c>
      <c r="Y15" s="31" t="s">
        <v>8</v>
      </c>
      <c r="Z15" s="36">
        <f t="shared" si="114"/>
        <v>0.58067367512209955</v>
      </c>
      <c r="AA15" s="34">
        <f t="shared" si="115"/>
        <v>5.7987002190460601E-2</v>
      </c>
      <c r="AB15" s="54">
        <f t="shared" si="116"/>
        <v>501482.24760343711</v>
      </c>
      <c r="AC15" s="81">
        <f t="shared" si="117"/>
        <v>501482.24760343711</v>
      </c>
      <c r="AD15" s="77" t="s">
        <v>8</v>
      </c>
      <c r="AE15" s="31" t="s">
        <v>8</v>
      </c>
      <c r="AF15" s="36">
        <f t="shared" si="118"/>
        <v>0.66182056612971907</v>
      </c>
      <c r="AG15" s="34">
        <f t="shared" si="119"/>
        <v>4.0737561692332003E-2</v>
      </c>
      <c r="AH15" s="54">
        <f t="shared" si="120"/>
        <v>370857.52553838346</v>
      </c>
      <c r="AI15" s="81">
        <f t="shared" si="121"/>
        <v>277263.77592433279</v>
      </c>
      <c r="AJ15" s="77" t="s">
        <v>8</v>
      </c>
      <c r="AK15" s="31" t="s">
        <v>8</v>
      </c>
      <c r="AL15" s="36">
        <f t="shared" si="122"/>
        <v>0.70668575031682679</v>
      </c>
      <c r="AM15" s="34">
        <f t="shared" si="123"/>
        <v>3.6106395179562156E-2</v>
      </c>
      <c r="AN15" s="54">
        <f t="shared" si="124"/>
        <v>339273.1042528415</v>
      </c>
      <c r="AO15" s="81">
        <f t="shared" si="125"/>
        <v>0</v>
      </c>
      <c r="AP15" s="77" t="s">
        <v>8</v>
      </c>
      <c r="AQ15" s="31" t="s">
        <v>8</v>
      </c>
      <c r="AR15" s="36">
        <f t="shared" si="126"/>
        <v>0.70668575031682679</v>
      </c>
      <c r="AS15" s="34">
        <f t="shared" si="127"/>
        <v>3.6106395179562156E-2</v>
      </c>
      <c r="AT15" s="54">
        <f t="shared" si="128"/>
        <v>339273.1042528415</v>
      </c>
      <c r="AU15" s="80">
        <f t="shared" si="129"/>
        <v>0</v>
      </c>
      <c r="AV15" s="77" t="s">
        <v>8</v>
      </c>
      <c r="AW15" s="31" t="s">
        <v>8</v>
      </c>
      <c r="AX15" s="36">
        <f t="shared" si="130"/>
        <v>0.70668575031682679</v>
      </c>
      <c r="AY15" s="34">
        <f t="shared" si="131"/>
        <v>3.6106395179562156E-2</v>
      </c>
      <c r="AZ15" s="54">
        <f t="shared" si="132"/>
        <v>339273.1042528415</v>
      </c>
      <c r="BA15" s="81">
        <f t="shared" si="133"/>
        <v>0</v>
      </c>
      <c r="BB15" s="77" t="s">
        <v>8</v>
      </c>
      <c r="BC15" s="31" t="s">
        <v>8</v>
      </c>
      <c r="BD15" s="36">
        <f t="shared" si="134"/>
        <v>0.70668575031682679</v>
      </c>
      <c r="BE15" s="34">
        <f t="shared" si="135"/>
        <v>3.6106395179562156E-2</v>
      </c>
      <c r="BF15" s="54">
        <f t="shared" si="136"/>
        <v>339273.1042528415</v>
      </c>
      <c r="BG15" s="81">
        <f t="shared" si="137"/>
        <v>0</v>
      </c>
      <c r="BH15" s="77" t="s">
        <v>8</v>
      </c>
      <c r="BI15" s="31" t="s">
        <v>8</v>
      </c>
      <c r="BJ15" s="36">
        <f t="shared" si="138"/>
        <v>0.70668575031682679</v>
      </c>
      <c r="BK15" s="34">
        <f t="shared" si="139"/>
        <v>3.6106395179562156E-2</v>
      </c>
      <c r="BL15" s="54">
        <f t="shared" si="140"/>
        <v>339273.1042528415</v>
      </c>
      <c r="BM15" s="81">
        <f t="shared" si="141"/>
        <v>0</v>
      </c>
      <c r="BN15" s="77" t="s">
        <v>8</v>
      </c>
      <c r="BO15" s="31" t="s">
        <v>8</v>
      </c>
      <c r="BP15" s="36">
        <f t="shared" si="142"/>
        <v>0.70668575031682679</v>
      </c>
      <c r="BQ15" s="34">
        <f t="shared" si="143"/>
        <v>3.6106395179562156E-2</v>
      </c>
      <c r="BR15" s="54">
        <f t="shared" si="144"/>
        <v>339273.1042528415</v>
      </c>
      <c r="BS15" s="128">
        <f t="shared" si="145"/>
        <v>0</v>
      </c>
      <c r="BT15" s="77" t="s">
        <v>8</v>
      </c>
      <c r="BU15" s="31" t="s">
        <v>8</v>
      </c>
      <c r="BV15" s="36">
        <f t="shared" si="146"/>
        <v>0.70668575031682679</v>
      </c>
      <c r="BW15" s="34">
        <f t="shared" si="147"/>
        <v>3.6106395179562156E-2</v>
      </c>
      <c r="BX15" s="54">
        <f t="shared" si="148"/>
        <v>339273.1042528415</v>
      </c>
      <c r="BY15" s="128">
        <f t="shared" si="149"/>
        <v>0</v>
      </c>
      <c r="BZ15" s="77" t="s">
        <v>8</v>
      </c>
      <c r="CA15" s="31" t="s">
        <v>8</v>
      </c>
      <c r="CB15" s="36">
        <f t="shared" si="150"/>
        <v>0.70668575031682679</v>
      </c>
      <c r="CC15" s="34">
        <f t="shared" si="151"/>
        <v>3.6106395179562156E-2</v>
      </c>
      <c r="CD15" s="54">
        <f t="shared" si="152"/>
        <v>339273.1042528415</v>
      </c>
      <c r="CE15" s="128">
        <f t="shared" si="153"/>
        <v>0</v>
      </c>
      <c r="CF15" s="77" t="s">
        <v>8</v>
      </c>
      <c r="CG15" s="31" t="s">
        <v>8</v>
      </c>
      <c r="CH15" s="36">
        <f t="shared" si="154"/>
        <v>0.70668575031682679</v>
      </c>
      <c r="CI15" s="34">
        <f t="shared" si="155"/>
        <v>3.6106395179562156E-2</v>
      </c>
      <c r="CJ15" s="54">
        <f t="shared" si="156"/>
        <v>339273.1042528415</v>
      </c>
      <c r="CK15" s="128">
        <f t="shared" si="157"/>
        <v>0</v>
      </c>
      <c r="CL15" s="77" t="s">
        <v>8</v>
      </c>
      <c r="CM15" s="31" t="s">
        <v>8</v>
      </c>
      <c r="CN15" s="36">
        <f t="shared" si="158"/>
        <v>0.70668575031682679</v>
      </c>
      <c r="CO15" s="34">
        <f t="shared" si="159"/>
        <v>3.6106395179562156E-2</v>
      </c>
      <c r="CP15" s="54">
        <f t="shared" si="160"/>
        <v>339273.1042528415</v>
      </c>
      <c r="CQ15" s="128">
        <f t="shared" si="161"/>
        <v>0</v>
      </c>
      <c r="CR15" s="77" t="s">
        <v>8</v>
      </c>
      <c r="CS15" s="31" t="s">
        <v>8</v>
      </c>
      <c r="CT15" s="36">
        <f t="shared" si="162"/>
        <v>0.70668575031682679</v>
      </c>
      <c r="CU15" s="34">
        <f t="shared" si="163"/>
        <v>3.6106395179562156E-2</v>
      </c>
      <c r="CV15" s="54">
        <f t="shared" si="164"/>
        <v>339273.1042528415</v>
      </c>
      <c r="CW15" s="128">
        <f t="shared" si="165"/>
        <v>0</v>
      </c>
      <c r="CX15" s="77" t="s">
        <v>8</v>
      </c>
      <c r="CY15" s="31" t="s">
        <v>8</v>
      </c>
      <c r="CZ15" s="36">
        <f t="shared" si="166"/>
        <v>0.70668575031682679</v>
      </c>
      <c r="DA15" s="34">
        <f t="shared" si="167"/>
        <v>3.6106395179562156E-2</v>
      </c>
      <c r="DB15" s="54">
        <f t="shared" si="168"/>
        <v>339273.1042528415</v>
      </c>
      <c r="DC15" s="128">
        <f t="shared" si="169"/>
        <v>0</v>
      </c>
      <c r="DD15" s="77" t="s">
        <v>8</v>
      </c>
      <c r="DE15" s="31" t="s">
        <v>8</v>
      </c>
      <c r="DF15" s="36">
        <f t="shared" si="170"/>
        <v>0.70668575031682679</v>
      </c>
      <c r="DG15" s="34">
        <f t="shared" si="171"/>
        <v>3.6106395179562156E-2</v>
      </c>
      <c r="DH15" s="54">
        <f t="shared" si="172"/>
        <v>339273.1042528415</v>
      </c>
      <c r="DI15" s="128">
        <f t="shared" si="173"/>
        <v>0</v>
      </c>
      <c r="DJ15" s="77" t="s">
        <v>8</v>
      </c>
      <c r="DK15" s="31" t="s">
        <v>8</v>
      </c>
      <c r="DL15" s="36">
        <f t="shared" si="174"/>
        <v>0.70668575031682679</v>
      </c>
      <c r="DM15" s="34">
        <f t="shared" si="175"/>
        <v>3.6106395179562156E-2</v>
      </c>
      <c r="DN15" s="54">
        <f t="shared" si="176"/>
        <v>339273.1042528415</v>
      </c>
      <c r="DO15" s="128">
        <f t="shared" si="177"/>
        <v>0</v>
      </c>
      <c r="DP15" s="77" t="s">
        <v>8</v>
      </c>
      <c r="DQ15" s="31" t="s">
        <v>8</v>
      </c>
      <c r="DR15" s="36">
        <f t="shared" si="178"/>
        <v>0.70668575031682679</v>
      </c>
      <c r="DS15" s="34">
        <f t="shared" si="179"/>
        <v>3.6106395179562156E-2</v>
      </c>
      <c r="DT15" s="54">
        <f t="shared" si="180"/>
        <v>339273.1042528415</v>
      </c>
      <c r="DU15" s="128">
        <f t="shared" si="181"/>
        <v>0</v>
      </c>
      <c r="DV15" s="77" t="s">
        <v>8</v>
      </c>
      <c r="DW15" s="31" t="s">
        <v>8</v>
      </c>
      <c r="DX15" s="36">
        <f t="shared" si="182"/>
        <v>0.70668575031682679</v>
      </c>
      <c r="DY15" s="34">
        <f t="shared" si="183"/>
        <v>3.6106395179562156E-2</v>
      </c>
      <c r="DZ15" s="35">
        <f t="shared" si="184"/>
        <v>339273.1042528415</v>
      </c>
      <c r="EA15" s="81">
        <f t="shared" si="185"/>
        <v>0</v>
      </c>
      <c r="EB15" s="77" t="s">
        <v>8</v>
      </c>
      <c r="EC15" s="31" t="s">
        <v>8</v>
      </c>
      <c r="ED15" s="36">
        <f t="shared" si="186"/>
        <v>0.70668575031682679</v>
      </c>
      <c r="EE15" s="34">
        <f t="shared" si="187"/>
        <v>3.6106395179562156E-2</v>
      </c>
      <c r="EF15" s="35">
        <f t="shared" si="188"/>
        <v>339273.1042528415</v>
      </c>
      <c r="EG15" s="81">
        <f t="shared" si="189"/>
        <v>0</v>
      </c>
      <c r="EH15" s="77" t="s">
        <v>8</v>
      </c>
      <c r="EI15" s="31" t="s">
        <v>8</v>
      </c>
      <c r="EJ15" s="36">
        <f t="shared" si="190"/>
        <v>0.70668575031682679</v>
      </c>
      <c r="EK15" s="34">
        <f t="shared" si="191"/>
        <v>3.6106395179562156E-2</v>
      </c>
      <c r="EL15" s="35">
        <f t="shared" si="192"/>
        <v>339273.1042528415</v>
      </c>
      <c r="EM15" s="81">
        <f t="shared" si="193"/>
        <v>0</v>
      </c>
      <c r="EN15" s="77" t="s">
        <v>8</v>
      </c>
      <c r="EO15" s="31" t="s">
        <v>8</v>
      </c>
      <c r="EP15" s="36">
        <f t="shared" si="194"/>
        <v>0.70668575031682679</v>
      </c>
      <c r="EQ15" s="34">
        <f t="shared" si="195"/>
        <v>3.6106395179562156E-2</v>
      </c>
      <c r="ER15" s="35">
        <f t="shared" si="196"/>
        <v>339273.1042528415</v>
      </c>
      <c r="ES15" s="81">
        <f t="shared" si="197"/>
        <v>0</v>
      </c>
      <c r="ET15" s="77" t="s">
        <v>8</v>
      </c>
      <c r="EU15" s="31" t="s">
        <v>8</v>
      </c>
      <c r="EV15" s="36">
        <f t="shared" si="198"/>
        <v>0.70668575031682679</v>
      </c>
      <c r="EW15" s="34">
        <f t="shared" si="199"/>
        <v>3.6106395179562156E-2</v>
      </c>
      <c r="EX15" s="35">
        <f t="shared" si="200"/>
        <v>339273.1042528415</v>
      </c>
      <c r="EY15" s="81">
        <f t="shared" si="201"/>
        <v>0</v>
      </c>
      <c r="EZ15" s="77" t="s">
        <v>8</v>
      </c>
      <c r="FA15" s="31" t="s">
        <v>8</v>
      </c>
      <c r="FB15" s="36">
        <f t="shared" si="202"/>
        <v>0.70668575031682679</v>
      </c>
      <c r="FC15" s="34">
        <f t="shared" si="203"/>
        <v>3.6106395179562156E-2</v>
      </c>
      <c r="FD15" s="35">
        <f t="shared" si="204"/>
        <v>339273.1042528415</v>
      </c>
      <c r="FE15" s="81">
        <f t="shared" si="205"/>
        <v>0</v>
      </c>
      <c r="FF15" s="77" t="s">
        <v>8</v>
      </c>
      <c r="FG15" s="31" t="s">
        <v>8</v>
      </c>
      <c r="FH15" s="36">
        <f t="shared" si="206"/>
        <v>0.70668575031682679</v>
      </c>
      <c r="FI15" s="34">
        <f t="shared" si="207"/>
        <v>3.6106395179562156E-2</v>
      </c>
      <c r="FJ15" s="35">
        <f t="shared" si="208"/>
        <v>339273.1042528415</v>
      </c>
      <c r="FK15" s="81">
        <f t="shared" si="209"/>
        <v>0</v>
      </c>
      <c r="FL15" s="77" t="s">
        <v>8</v>
      </c>
      <c r="FM15" s="31" t="s">
        <v>8</v>
      </c>
      <c r="FN15" s="36">
        <f t="shared" si="210"/>
        <v>0.70668575031682679</v>
      </c>
      <c r="FO15" s="34">
        <f t="shared" si="211"/>
        <v>3.6106395179562156E-2</v>
      </c>
      <c r="FP15" s="35">
        <f t="shared" si="212"/>
        <v>339273.1042528415</v>
      </c>
      <c r="FQ15" s="81">
        <f t="shared" si="213"/>
        <v>0</v>
      </c>
      <c r="FR15" s="77" t="s">
        <v>8</v>
      </c>
      <c r="FS15" s="31" t="s">
        <v>8</v>
      </c>
      <c r="FT15" s="36">
        <f t="shared" si="214"/>
        <v>0.70668575031682679</v>
      </c>
      <c r="FU15" s="34">
        <f t="shared" si="215"/>
        <v>3.6106395179562156E-2</v>
      </c>
      <c r="FV15" s="35">
        <f t="shared" si="216"/>
        <v>339273.1042528415</v>
      </c>
      <c r="FW15" s="81">
        <f t="shared" si="217"/>
        <v>0</v>
      </c>
      <c r="FX15" s="77" t="s">
        <v>8</v>
      </c>
      <c r="FY15" s="31" t="s">
        <v>8</v>
      </c>
      <c r="FZ15" s="36">
        <f t="shared" si="218"/>
        <v>0.70668575031682679</v>
      </c>
      <c r="GA15" s="34">
        <f t="shared" si="219"/>
        <v>3.6106395179562156E-2</v>
      </c>
      <c r="GB15" s="35">
        <f t="shared" si="220"/>
        <v>339273.1042528415</v>
      </c>
      <c r="GC15" s="81">
        <f t="shared" si="221"/>
        <v>0</v>
      </c>
      <c r="GD15" s="77" t="s">
        <v>8</v>
      </c>
      <c r="GE15" s="31" t="s">
        <v>8</v>
      </c>
      <c r="GF15" s="36">
        <f t="shared" si="222"/>
        <v>0.70668575031682679</v>
      </c>
      <c r="GG15" s="34">
        <f t="shared" si="223"/>
        <v>3.6106395179562156E-2</v>
      </c>
      <c r="GH15" s="35">
        <f t="shared" si="224"/>
        <v>339273.1042528415</v>
      </c>
      <c r="GI15" s="128">
        <f t="shared" si="225"/>
        <v>0</v>
      </c>
      <c r="GJ15" s="185">
        <f t="shared" si="227"/>
        <v>3087636.1054115435</v>
      </c>
      <c r="GK15" s="98">
        <f t="shared" si="228"/>
        <v>3439678.7008801792</v>
      </c>
      <c r="GL15" s="261">
        <f t="shared" si="226"/>
        <v>0.7066857503168269</v>
      </c>
      <c r="GM15" s="254"/>
      <c r="GN15" s="254"/>
      <c r="GO15" s="191"/>
    </row>
    <row r="16" spans="1:197" s="26" customFormat="1" ht="48" thickBot="1" x14ac:dyDescent="0.3">
      <c r="A16" s="123" t="s">
        <v>181</v>
      </c>
      <c r="B16" s="162" t="s">
        <v>8</v>
      </c>
      <c r="C16" s="162" t="s">
        <v>8</v>
      </c>
      <c r="D16" s="162" t="s">
        <v>8</v>
      </c>
      <c r="E16" s="162" t="s">
        <v>8</v>
      </c>
      <c r="F16" s="162" t="s">
        <v>8</v>
      </c>
      <c r="G16" s="107">
        <f>'Исходные данные'!C18</f>
        <v>619</v>
      </c>
      <c r="H16" s="32">
        <f>'Исходные данные'!D18</f>
        <v>972218</v>
      </c>
      <c r="I16" s="33">
        <f>'Расчет КРП'!E14</f>
        <v>3.7236057568748393</v>
      </c>
      <c r="J16" s="114" t="s">
        <v>8</v>
      </c>
      <c r="K16" s="118">
        <f t="shared" si="104"/>
        <v>0.14642623684606657</v>
      </c>
      <c r="L16" s="78">
        <f t="shared" si="105"/>
        <v>371234.01464239415</v>
      </c>
      <c r="M16" s="74">
        <f t="shared" si="106"/>
        <v>0.20233797655191785</v>
      </c>
      <c r="N16" s="31" t="s">
        <v>8</v>
      </c>
      <c r="O16" s="34">
        <f t="shared" si="107"/>
        <v>0.25938092559810555</v>
      </c>
      <c r="P16" s="182">
        <f t="shared" si="108"/>
        <v>2080746.6610268017</v>
      </c>
      <c r="Q16" s="172">
        <f t="shared" si="109"/>
        <v>2080746.6610268017</v>
      </c>
      <c r="R16" s="167" t="s">
        <v>8</v>
      </c>
      <c r="S16" s="31" t="s">
        <v>8</v>
      </c>
      <c r="T16" s="36">
        <f t="shared" si="110"/>
        <v>0.51572026674215565</v>
      </c>
      <c r="U16" s="34">
        <f t="shared" si="111"/>
        <v>4.9345316886787227E-2</v>
      </c>
      <c r="V16" s="54">
        <f t="shared" si="112"/>
        <v>429242.01309227903</v>
      </c>
      <c r="W16" s="81">
        <f t="shared" si="113"/>
        <v>429242.01309227903</v>
      </c>
      <c r="X16" s="77" t="s">
        <v>8</v>
      </c>
      <c r="Y16" s="31" t="s">
        <v>8</v>
      </c>
      <c r="Z16" s="36">
        <f t="shared" si="114"/>
        <v>0.58036861996471734</v>
      </c>
      <c r="AA16" s="34">
        <f t="shared" si="115"/>
        <v>5.8292057347842818E-2</v>
      </c>
      <c r="AB16" s="54">
        <f t="shared" si="116"/>
        <v>541620.84193235438</v>
      </c>
      <c r="AC16" s="81">
        <f t="shared" si="117"/>
        <v>541620.84193235438</v>
      </c>
      <c r="AD16" s="77" t="s">
        <v>8</v>
      </c>
      <c r="AE16" s="31" t="s">
        <v>8</v>
      </c>
      <c r="AF16" s="36">
        <f t="shared" si="118"/>
        <v>0.66194240452903619</v>
      </c>
      <c r="AG16" s="34">
        <f t="shared" si="119"/>
        <v>4.0615723293014883E-2</v>
      </c>
      <c r="AH16" s="54">
        <f t="shared" si="120"/>
        <v>397253.13636948552</v>
      </c>
      <c r="AI16" s="81">
        <f t="shared" si="121"/>
        <v>296997.89542544319</v>
      </c>
      <c r="AJ16" s="77" t="s">
        <v>8</v>
      </c>
      <c r="AK16" s="31" t="s">
        <v>8</v>
      </c>
      <c r="AL16" s="36">
        <f t="shared" si="122"/>
        <v>0.70667340537282763</v>
      </c>
      <c r="AM16" s="34">
        <f t="shared" si="123"/>
        <v>3.611874012356131E-2</v>
      </c>
      <c r="AN16" s="54">
        <f t="shared" si="124"/>
        <v>364635.52029330854</v>
      </c>
      <c r="AO16" s="81">
        <f t="shared" si="125"/>
        <v>0</v>
      </c>
      <c r="AP16" s="77" t="s">
        <v>8</v>
      </c>
      <c r="AQ16" s="31" t="s">
        <v>8</v>
      </c>
      <c r="AR16" s="36">
        <f t="shared" si="126"/>
        <v>0.70667340537282763</v>
      </c>
      <c r="AS16" s="34">
        <f t="shared" si="127"/>
        <v>3.611874012356131E-2</v>
      </c>
      <c r="AT16" s="54">
        <f t="shared" si="128"/>
        <v>364635.52029330854</v>
      </c>
      <c r="AU16" s="80">
        <f t="shared" si="129"/>
        <v>0</v>
      </c>
      <c r="AV16" s="77" t="s">
        <v>8</v>
      </c>
      <c r="AW16" s="31" t="s">
        <v>8</v>
      </c>
      <c r="AX16" s="36">
        <f t="shared" si="130"/>
        <v>0.70667340537282763</v>
      </c>
      <c r="AY16" s="34">
        <f t="shared" si="131"/>
        <v>3.611874012356131E-2</v>
      </c>
      <c r="AZ16" s="54">
        <f t="shared" si="132"/>
        <v>364635.52029330854</v>
      </c>
      <c r="BA16" s="81">
        <f t="shared" si="133"/>
        <v>0</v>
      </c>
      <c r="BB16" s="77" t="s">
        <v>8</v>
      </c>
      <c r="BC16" s="31" t="s">
        <v>8</v>
      </c>
      <c r="BD16" s="36">
        <f t="shared" si="134"/>
        <v>0.70667340537282763</v>
      </c>
      <c r="BE16" s="34">
        <f t="shared" si="135"/>
        <v>3.611874012356131E-2</v>
      </c>
      <c r="BF16" s="54">
        <f t="shared" si="136"/>
        <v>364635.52029330854</v>
      </c>
      <c r="BG16" s="81">
        <f t="shared" si="137"/>
        <v>0</v>
      </c>
      <c r="BH16" s="77" t="s">
        <v>8</v>
      </c>
      <c r="BI16" s="31" t="s">
        <v>8</v>
      </c>
      <c r="BJ16" s="36">
        <f t="shared" si="138"/>
        <v>0.70667340537282763</v>
      </c>
      <c r="BK16" s="34">
        <f t="shared" si="139"/>
        <v>3.611874012356131E-2</v>
      </c>
      <c r="BL16" s="54">
        <f t="shared" si="140"/>
        <v>364635.52029330854</v>
      </c>
      <c r="BM16" s="81">
        <f t="shared" si="141"/>
        <v>0</v>
      </c>
      <c r="BN16" s="77" t="s">
        <v>8</v>
      </c>
      <c r="BO16" s="31" t="s">
        <v>8</v>
      </c>
      <c r="BP16" s="36">
        <f t="shared" si="142"/>
        <v>0.70667340537282763</v>
      </c>
      <c r="BQ16" s="34">
        <f t="shared" si="143"/>
        <v>3.611874012356131E-2</v>
      </c>
      <c r="BR16" s="54">
        <f t="shared" si="144"/>
        <v>364635.52029330854</v>
      </c>
      <c r="BS16" s="128">
        <f t="shared" si="145"/>
        <v>0</v>
      </c>
      <c r="BT16" s="77" t="s">
        <v>8</v>
      </c>
      <c r="BU16" s="31" t="s">
        <v>8</v>
      </c>
      <c r="BV16" s="36">
        <f t="shared" si="146"/>
        <v>0.70667340537282763</v>
      </c>
      <c r="BW16" s="34">
        <f t="shared" si="147"/>
        <v>3.611874012356131E-2</v>
      </c>
      <c r="BX16" s="54">
        <f t="shared" si="148"/>
        <v>364635.52029330854</v>
      </c>
      <c r="BY16" s="128">
        <f t="shared" si="149"/>
        <v>0</v>
      </c>
      <c r="BZ16" s="77" t="s">
        <v>8</v>
      </c>
      <c r="CA16" s="31" t="s">
        <v>8</v>
      </c>
      <c r="CB16" s="36">
        <f t="shared" si="150"/>
        <v>0.70667340537282763</v>
      </c>
      <c r="CC16" s="34">
        <f t="shared" si="151"/>
        <v>3.611874012356131E-2</v>
      </c>
      <c r="CD16" s="54">
        <f t="shared" si="152"/>
        <v>364635.52029330854</v>
      </c>
      <c r="CE16" s="128">
        <f t="shared" si="153"/>
        <v>0</v>
      </c>
      <c r="CF16" s="77" t="s">
        <v>8</v>
      </c>
      <c r="CG16" s="31" t="s">
        <v>8</v>
      </c>
      <c r="CH16" s="36">
        <f t="shared" si="154"/>
        <v>0.70667340537282763</v>
      </c>
      <c r="CI16" s="34">
        <f t="shared" si="155"/>
        <v>3.611874012356131E-2</v>
      </c>
      <c r="CJ16" s="54">
        <f t="shared" si="156"/>
        <v>364635.52029330854</v>
      </c>
      <c r="CK16" s="128">
        <f t="shared" si="157"/>
        <v>0</v>
      </c>
      <c r="CL16" s="77" t="s">
        <v>8</v>
      </c>
      <c r="CM16" s="31" t="s">
        <v>8</v>
      </c>
      <c r="CN16" s="36">
        <f t="shared" si="158"/>
        <v>0.70667340537282763</v>
      </c>
      <c r="CO16" s="34">
        <f t="shared" si="159"/>
        <v>3.611874012356131E-2</v>
      </c>
      <c r="CP16" s="54">
        <f t="shared" si="160"/>
        <v>364635.52029330854</v>
      </c>
      <c r="CQ16" s="128">
        <f t="shared" si="161"/>
        <v>0</v>
      </c>
      <c r="CR16" s="77" t="s">
        <v>8</v>
      </c>
      <c r="CS16" s="31" t="s">
        <v>8</v>
      </c>
      <c r="CT16" s="36">
        <f t="shared" si="162"/>
        <v>0.70667340537282763</v>
      </c>
      <c r="CU16" s="34">
        <f t="shared" si="163"/>
        <v>3.611874012356131E-2</v>
      </c>
      <c r="CV16" s="54">
        <f t="shared" si="164"/>
        <v>364635.52029330854</v>
      </c>
      <c r="CW16" s="128">
        <f t="shared" si="165"/>
        <v>0</v>
      </c>
      <c r="CX16" s="77" t="s">
        <v>8</v>
      </c>
      <c r="CY16" s="31" t="s">
        <v>8</v>
      </c>
      <c r="CZ16" s="36">
        <f t="shared" si="166"/>
        <v>0.70667340537282763</v>
      </c>
      <c r="DA16" s="34">
        <f t="shared" si="167"/>
        <v>3.611874012356131E-2</v>
      </c>
      <c r="DB16" s="54">
        <f t="shared" si="168"/>
        <v>364635.52029330854</v>
      </c>
      <c r="DC16" s="128">
        <f t="shared" si="169"/>
        <v>0</v>
      </c>
      <c r="DD16" s="77" t="s">
        <v>8</v>
      </c>
      <c r="DE16" s="31" t="s">
        <v>8</v>
      </c>
      <c r="DF16" s="36">
        <f t="shared" si="170"/>
        <v>0.70667340537282763</v>
      </c>
      <c r="DG16" s="34">
        <f t="shared" si="171"/>
        <v>3.611874012356131E-2</v>
      </c>
      <c r="DH16" s="54">
        <f t="shared" si="172"/>
        <v>364635.52029330854</v>
      </c>
      <c r="DI16" s="128">
        <f t="shared" si="173"/>
        <v>0</v>
      </c>
      <c r="DJ16" s="77" t="s">
        <v>8</v>
      </c>
      <c r="DK16" s="31" t="s">
        <v>8</v>
      </c>
      <c r="DL16" s="36">
        <f t="shared" si="174"/>
        <v>0.70667340537282763</v>
      </c>
      <c r="DM16" s="34">
        <f t="shared" si="175"/>
        <v>3.611874012356131E-2</v>
      </c>
      <c r="DN16" s="54">
        <f t="shared" si="176"/>
        <v>364635.52029330854</v>
      </c>
      <c r="DO16" s="128">
        <f t="shared" si="177"/>
        <v>0</v>
      </c>
      <c r="DP16" s="77" t="s">
        <v>8</v>
      </c>
      <c r="DQ16" s="31" t="s">
        <v>8</v>
      </c>
      <c r="DR16" s="36">
        <f t="shared" si="178"/>
        <v>0.70667340537282763</v>
      </c>
      <c r="DS16" s="34">
        <f t="shared" si="179"/>
        <v>3.611874012356131E-2</v>
      </c>
      <c r="DT16" s="54">
        <f t="shared" si="180"/>
        <v>364635.52029330854</v>
      </c>
      <c r="DU16" s="128">
        <f t="shared" si="181"/>
        <v>0</v>
      </c>
      <c r="DV16" s="77" t="s">
        <v>8</v>
      </c>
      <c r="DW16" s="31" t="s">
        <v>8</v>
      </c>
      <c r="DX16" s="36">
        <f t="shared" si="182"/>
        <v>0.70667340537282763</v>
      </c>
      <c r="DY16" s="34">
        <f t="shared" si="183"/>
        <v>3.611874012356131E-2</v>
      </c>
      <c r="DZ16" s="35">
        <f t="shared" si="184"/>
        <v>364635.52029330854</v>
      </c>
      <c r="EA16" s="81">
        <f t="shared" si="185"/>
        <v>0</v>
      </c>
      <c r="EB16" s="77" t="s">
        <v>8</v>
      </c>
      <c r="EC16" s="31" t="s">
        <v>8</v>
      </c>
      <c r="ED16" s="36">
        <f t="shared" si="186"/>
        <v>0.70667340537282763</v>
      </c>
      <c r="EE16" s="34">
        <f t="shared" si="187"/>
        <v>3.611874012356131E-2</v>
      </c>
      <c r="EF16" s="35">
        <f t="shared" si="188"/>
        <v>364635.52029330854</v>
      </c>
      <c r="EG16" s="81">
        <f t="shared" si="189"/>
        <v>0</v>
      </c>
      <c r="EH16" s="77" t="s">
        <v>8</v>
      </c>
      <c r="EI16" s="31" t="s">
        <v>8</v>
      </c>
      <c r="EJ16" s="36">
        <f t="shared" si="190"/>
        <v>0.70667340537282763</v>
      </c>
      <c r="EK16" s="34">
        <f t="shared" si="191"/>
        <v>3.611874012356131E-2</v>
      </c>
      <c r="EL16" s="35">
        <f t="shared" si="192"/>
        <v>364635.52029330854</v>
      </c>
      <c r="EM16" s="81">
        <f t="shared" si="193"/>
        <v>0</v>
      </c>
      <c r="EN16" s="77" t="s">
        <v>8</v>
      </c>
      <c r="EO16" s="31" t="s">
        <v>8</v>
      </c>
      <c r="EP16" s="36">
        <f t="shared" si="194"/>
        <v>0.70667340537282763</v>
      </c>
      <c r="EQ16" s="34">
        <f t="shared" si="195"/>
        <v>3.611874012356131E-2</v>
      </c>
      <c r="ER16" s="35">
        <f t="shared" si="196"/>
        <v>364635.52029330854</v>
      </c>
      <c r="ES16" s="81">
        <f t="shared" si="197"/>
        <v>0</v>
      </c>
      <c r="ET16" s="77" t="s">
        <v>8</v>
      </c>
      <c r="EU16" s="31" t="s">
        <v>8</v>
      </c>
      <c r="EV16" s="36">
        <f t="shared" si="198"/>
        <v>0.70667340537282763</v>
      </c>
      <c r="EW16" s="34">
        <f t="shared" si="199"/>
        <v>3.611874012356131E-2</v>
      </c>
      <c r="EX16" s="35">
        <f t="shared" si="200"/>
        <v>364635.52029330854</v>
      </c>
      <c r="EY16" s="81">
        <f t="shared" si="201"/>
        <v>0</v>
      </c>
      <c r="EZ16" s="77" t="s">
        <v>8</v>
      </c>
      <c r="FA16" s="31" t="s">
        <v>8</v>
      </c>
      <c r="FB16" s="36">
        <f t="shared" si="202"/>
        <v>0.70667340537282763</v>
      </c>
      <c r="FC16" s="34">
        <f t="shared" si="203"/>
        <v>3.611874012356131E-2</v>
      </c>
      <c r="FD16" s="35">
        <f t="shared" si="204"/>
        <v>364635.52029330854</v>
      </c>
      <c r="FE16" s="81">
        <f t="shared" si="205"/>
        <v>0</v>
      </c>
      <c r="FF16" s="77" t="s">
        <v>8</v>
      </c>
      <c r="FG16" s="31" t="s">
        <v>8</v>
      </c>
      <c r="FH16" s="36">
        <f t="shared" si="206"/>
        <v>0.70667340537282763</v>
      </c>
      <c r="FI16" s="34">
        <f t="shared" si="207"/>
        <v>3.611874012356131E-2</v>
      </c>
      <c r="FJ16" s="35">
        <f t="shared" si="208"/>
        <v>364635.52029330854</v>
      </c>
      <c r="FK16" s="81">
        <f t="shared" si="209"/>
        <v>0</v>
      </c>
      <c r="FL16" s="77" t="s">
        <v>8</v>
      </c>
      <c r="FM16" s="31" t="s">
        <v>8</v>
      </c>
      <c r="FN16" s="36">
        <f t="shared" si="210"/>
        <v>0.70667340537282763</v>
      </c>
      <c r="FO16" s="34">
        <f t="shared" si="211"/>
        <v>3.611874012356131E-2</v>
      </c>
      <c r="FP16" s="35">
        <f t="shared" si="212"/>
        <v>364635.52029330854</v>
      </c>
      <c r="FQ16" s="81">
        <f t="shared" si="213"/>
        <v>0</v>
      </c>
      <c r="FR16" s="77" t="s">
        <v>8</v>
      </c>
      <c r="FS16" s="31" t="s">
        <v>8</v>
      </c>
      <c r="FT16" s="36">
        <f t="shared" si="214"/>
        <v>0.70667340537282763</v>
      </c>
      <c r="FU16" s="34">
        <f t="shared" si="215"/>
        <v>3.611874012356131E-2</v>
      </c>
      <c r="FV16" s="35">
        <f t="shared" si="216"/>
        <v>364635.52029330854</v>
      </c>
      <c r="FW16" s="81">
        <f t="shared" si="217"/>
        <v>0</v>
      </c>
      <c r="FX16" s="77" t="s">
        <v>8</v>
      </c>
      <c r="FY16" s="31" t="s">
        <v>8</v>
      </c>
      <c r="FZ16" s="36">
        <f t="shared" si="218"/>
        <v>0.70667340537282763</v>
      </c>
      <c r="GA16" s="34">
        <f t="shared" si="219"/>
        <v>3.611874012356131E-2</v>
      </c>
      <c r="GB16" s="35">
        <f t="shared" si="220"/>
        <v>364635.52029330854</v>
      </c>
      <c r="GC16" s="81">
        <f t="shared" si="221"/>
        <v>0</v>
      </c>
      <c r="GD16" s="77" t="s">
        <v>8</v>
      </c>
      <c r="GE16" s="31" t="s">
        <v>8</v>
      </c>
      <c r="GF16" s="36">
        <f t="shared" si="222"/>
        <v>0.70667340537282763</v>
      </c>
      <c r="GG16" s="34">
        <f t="shared" si="223"/>
        <v>3.611874012356131E-2</v>
      </c>
      <c r="GH16" s="35">
        <f t="shared" si="224"/>
        <v>364635.52029330854</v>
      </c>
      <c r="GI16" s="128">
        <f t="shared" si="225"/>
        <v>0</v>
      </c>
      <c r="GJ16" s="185">
        <f t="shared" si="227"/>
        <v>3348607.4114768784</v>
      </c>
      <c r="GK16" s="98">
        <f t="shared" si="228"/>
        <v>3719841.4261192726</v>
      </c>
      <c r="GL16" s="261">
        <f t="shared" si="226"/>
        <v>0.70667340537282763</v>
      </c>
      <c r="GM16" s="254"/>
      <c r="GN16" s="254"/>
      <c r="GO16" s="191"/>
    </row>
    <row r="17" spans="1:197" s="26" customFormat="1" ht="48" thickBot="1" x14ac:dyDescent="0.3">
      <c r="A17" s="123" t="s">
        <v>182</v>
      </c>
      <c r="B17" s="162" t="s">
        <v>8</v>
      </c>
      <c r="C17" s="162" t="s">
        <v>8</v>
      </c>
      <c r="D17" s="162" t="s">
        <v>8</v>
      </c>
      <c r="E17" s="162" t="s">
        <v>8</v>
      </c>
      <c r="F17" s="162" t="s">
        <v>8</v>
      </c>
      <c r="G17" s="107">
        <f>'Исходные данные'!C19</f>
        <v>1741</v>
      </c>
      <c r="H17" s="32">
        <f>'Исходные данные'!D19</f>
        <v>2632604</v>
      </c>
      <c r="I17" s="33">
        <f>'Расчет КРП'!E15</f>
        <v>1.7720380364944743</v>
      </c>
      <c r="J17" s="114" t="s">
        <v>8</v>
      </c>
      <c r="K17" s="118">
        <f t="shared" si="104"/>
        <v>0.29622609379273374</v>
      </c>
      <c r="L17" s="78">
        <f t="shared" si="105"/>
        <v>1044133.1494223073</v>
      </c>
      <c r="M17" s="74">
        <f t="shared" si="106"/>
        <v>0.41371413386745631</v>
      </c>
      <c r="N17" s="31" t="s">
        <v>8</v>
      </c>
      <c r="O17" s="34">
        <f t="shared" si="107"/>
        <v>4.8004768282567056E-2</v>
      </c>
      <c r="P17" s="182">
        <f t="shared" si="108"/>
        <v>515445.8141470066</v>
      </c>
      <c r="Q17" s="172">
        <f t="shared" si="109"/>
        <v>515445.8141470066</v>
      </c>
      <c r="R17" s="167" t="s">
        <v>8</v>
      </c>
      <c r="S17" s="31" t="s">
        <v>8</v>
      </c>
      <c r="T17" s="36">
        <f t="shared" si="110"/>
        <v>0.47171317211497976</v>
      </c>
      <c r="U17" s="34">
        <f t="shared" si="111"/>
        <v>9.3352411513963118E-2</v>
      </c>
      <c r="V17" s="54">
        <f t="shared" si="112"/>
        <v>1086924.2812037787</v>
      </c>
      <c r="W17" s="81">
        <f t="shared" si="113"/>
        <v>1086924.2812037787</v>
      </c>
      <c r="X17" s="77" t="s">
        <v>8</v>
      </c>
      <c r="Y17" s="31" t="s">
        <v>8</v>
      </c>
      <c r="Z17" s="36">
        <f t="shared" si="114"/>
        <v>0.59401615960169252</v>
      </c>
      <c r="AA17" s="34">
        <f t="shared" si="115"/>
        <v>4.4644517710867637E-2</v>
      </c>
      <c r="AB17" s="54">
        <f t="shared" si="116"/>
        <v>555228.29344106116</v>
      </c>
      <c r="AC17" s="81">
        <f t="shared" si="117"/>
        <v>555228.29344106116</v>
      </c>
      <c r="AD17" s="77" t="s">
        <v>8</v>
      </c>
      <c r="AE17" s="31" t="s">
        <v>8</v>
      </c>
      <c r="AF17" s="36">
        <f t="shared" si="118"/>
        <v>0.6564916054071579</v>
      </c>
      <c r="AG17" s="34">
        <f t="shared" si="119"/>
        <v>4.6066522414893174E-2</v>
      </c>
      <c r="AH17" s="54">
        <f t="shared" si="120"/>
        <v>603081.54697558796</v>
      </c>
      <c r="AI17" s="81">
        <f t="shared" si="121"/>
        <v>450881.14812283358</v>
      </c>
      <c r="AJ17" s="77" t="s">
        <v>8</v>
      </c>
      <c r="AK17" s="31" t="s">
        <v>8</v>
      </c>
      <c r="AL17" s="36">
        <f t="shared" si="122"/>
        <v>0.70722569274927616</v>
      </c>
      <c r="AM17" s="34">
        <f t="shared" si="123"/>
        <v>3.5566452747112787E-2</v>
      </c>
      <c r="AN17" s="54">
        <f t="shared" si="124"/>
        <v>480600.70178387355</v>
      </c>
      <c r="AO17" s="81">
        <f t="shared" si="125"/>
        <v>0</v>
      </c>
      <c r="AP17" s="77" t="s">
        <v>8</v>
      </c>
      <c r="AQ17" s="31" t="s">
        <v>8</v>
      </c>
      <c r="AR17" s="36">
        <f t="shared" si="126"/>
        <v>0.70722569274927616</v>
      </c>
      <c r="AS17" s="34">
        <f t="shared" si="127"/>
        <v>3.5566452747112787E-2</v>
      </c>
      <c r="AT17" s="54">
        <f t="shared" si="128"/>
        <v>480600.70178387355</v>
      </c>
      <c r="AU17" s="80">
        <f t="shared" si="129"/>
        <v>0</v>
      </c>
      <c r="AV17" s="77" t="s">
        <v>8</v>
      </c>
      <c r="AW17" s="31" t="s">
        <v>8</v>
      </c>
      <c r="AX17" s="36">
        <f t="shared" si="130"/>
        <v>0.70722569274927616</v>
      </c>
      <c r="AY17" s="34">
        <f t="shared" si="131"/>
        <v>3.5566452747112787E-2</v>
      </c>
      <c r="AZ17" s="54">
        <f t="shared" si="132"/>
        <v>480600.70178387355</v>
      </c>
      <c r="BA17" s="81">
        <f t="shared" si="133"/>
        <v>0</v>
      </c>
      <c r="BB17" s="77" t="s">
        <v>8</v>
      </c>
      <c r="BC17" s="31" t="s">
        <v>8</v>
      </c>
      <c r="BD17" s="36">
        <f t="shared" si="134"/>
        <v>0.70722569274927616</v>
      </c>
      <c r="BE17" s="34">
        <f t="shared" si="135"/>
        <v>3.5566452747112787E-2</v>
      </c>
      <c r="BF17" s="54">
        <f t="shared" si="136"/>
        <v>480600.70178387355</v>
      </c>
      <c r="BG17" s="81">
        <f t="shared" si="137"/>
        <v>0</v>
      </c>
      <c r="BH17" s="77" t="s">
        <v>8</v>
      </c>
      <c r="BI17" s="31" t="s">
        <v>8</v>
      </c>
      <c r="BJ17" s="36">
        <f t="shared" si="138"/>
        <v>0.70722569274927616</v>
      </c>
      <c r="BK17" s="34">
        <f t="shared" si="139"/>
        <v>3.5566452747112787E-2</v>
      </c>
      <c r="BL17" s="54">
        <f t="shared" si="140"/>
        <v>480600.70178387355</v>
      </c>
      <c r="BM17" s="81">
        <f t="shared" si="141"/>
        <v>0</v>
      </c>
      <c r="BN17" s="77" t="s">
        <v>8</v>
      </c>
      <c r="BO17" s="31" t="s">
        <v>8</v>
      </c>
      <c r="BP17" s="36">
        <f t="shared" si="142"/>
        <v>0.70722569274927616</v>
      </c>
      <c r="BQ17" s="34">
        <f t="shared" si="143"/>
        <v>3.5566452747112787E-2</v>
      </c>
      <c r="BR17" s="54">
        <f t="shared" si="144"/>
        <v>480600.70178387355</v>
      </c>
      <c r="BS17" s="128">
        <f t="shared" si="145"/>
        <v>0</v>
      </c>
      <c r="BT17" s="77" t="s">
        <v>8</v>
      </c>
      <c r="BU17" s="31" t="s">
        <v>8</v>
      </c>
      <c r="BV17" s="36">
        <f t="shared" si="146"/>
        <v>0.70722569274927616</v>
      </c>
      <c r="BW17" s="34">
        <f t="shared" si="147"/>
        <v>3.5566452747112787E-2</v>
      </c>
      <c r="BX17" s="54">
        <f t="shared" si="148"/>
        <v>480600.70178387355</v>
      </c>
      <c r="BY17" s="128">
        <f t="shared" si="149"/>
        <v>0</v>
      </c>
      <c r="BZ17" s="77" t="s">
        <v>8</v>
      </c>
      <c r="CA17" s="31" t="s">
        <v>8</v>
      </c>
      <c r="CB17" s="36">
        <f t="shared" si="150"/>
        <v>0.70722569274927616</v>
      </c>
      <c r="CC17" s="34">
        <f t="shared" si="151"/>
        <v>3.5566452747112787E-2</v>
      </c>
      <c r="CD17" s="54">
        <f t="shared" si="152"/>
        <v>480600.70178387355</v>
      </c>
      <c r="CE17" s="128">
        <f t="shared" si="153"/>
        <v>0</v>
      </c>
      <c r="CF17" s="77" t="s">
        <v>8</v>
      </c>
      <c r="CG17" s="31" t="s">
        <v>8</v>
      </c>
      <c r="CH17" s="36">
        <f t="shared" si="154"/>
        <v>0.70722569274927616</v>
      </c>
      <c r="CI17" s="34">
        <f t="shared" si="155"/>
        <v>3.5566452747112787E-2</v>
      </c>
      <c r="CJ17" s="54">
        <f t="shared" si="156"/>
        <v>480600.70178387355</v>
      </c>
      <c r="CK17" s="128">
        <f t="shared" si="157"/>
        <v>0</v>
      </c>
      <c r="CL17" s="77" t="s">
        <v>8</v>
      </c>
      <c r="CM17" s="31" t="s">
        <v>8</v>
      </c>
      <c r="CN17" s="36">
        <f t="shared" si="158"/>
        <v>0.70722569274927616</v>
      </c>
      <c r="CO17" s="34">
        <f t="shared" si="159"/>
        <v>3.5566452747112787E-2</v>
      </c>
      <c r="CP17" s="54">
        <f t="shared" si="160"/>
        <v>480600.70178387355</v>
      </c>
      <c r="CQ17" s="128">
        <f t="shared" si="161"/>
        <v>0</v>
      </c>
      <c r="CR17" s="77" t="s">
        <v>8</v>
      </c>
      <c r="CS17" s="31" t="s">
        <v>8</v>
      </c>
      <c r="CT17" s="36">
        <f t="shared" si="162"/>
        <v>0.70722569274927616</v>
      </c>
      <c r="CU17" s="34">
        <f t="shared" si="163"/>
        <v>3.5566452747112787E-2</v>
      </c>
      <c r="CV17" s="54">
        <f t="shared" si="164"/>
        <v>480600.70178387355</v>
      </c>
      <c r="CW17" s="128">
        <f t="shared" si="165"/>
        <v>0</v>
      </c>
      <c r="CX17" s="77" t="s">
        <v>8</v>
      </c>
      <c r="CY17" s="31" t="s">
        <v>8</v>
      </c>
      <c r="CZ17" s="36">
        <f t="shared" si="166"/>
        <v>0.70722569274927616</v>
      </c>
      <c r="DA17" s="34">
        <f t="shared" si="167"/>
        <v>3.5566452747112787E-2</v>
      </c>
      <c r="DB17" s="54">
        <f t="shared" si="168"/>
        <v>480600.70178387355</v>
      </c>
      <c r="DC17" s="128">
        <f t="shared" si="169"/>
        <v>0</v>
      </c>
      <c r="DD17" s="77" t="s">
        <v>8</v>
      </c>
      <c r="DE17" s="31" t="s">
        <v>8</v>
      </c>
      <c r="DF17" s="36">
        <f t="shared" si="170"/>
        <v>0.70722569274927616</v>
      </c>
      <c r="DG17" s="34">
        <f t="shared" si="171"/>
        <v>3.5566452747112787E-2</v>
      </c>
      <c r="DH17" s="54">
        <f t="shared" si="172"/>
        <v>480600.70178387355</v>
      </c>
      <c r="DI17" s="128">
        <f t="shared" si="173"/>
        <v>0</v>
      </c>
      <c r="DJ17" s="77" t="s">
        <v>8</v>
      </c>
      <c r="DK17" s="31" t="s">
        <v>8</v>
      </c>
      <c r="DL17" s="36">
        <f t="shared" si="174"/>
        <v>0.70722569274927616</v>
      </c>
      <c r="DM17" s="34">
        <f t="shared" si="175"/>
        <v>3.5566452747112787E-2</v>
      </c>
      <c r="DN17" s="54">
        <f t="shared" si="176"/>
        <v>480600.70178387355</v>
      </c>
      <c r="DO17" s="128">
        <f t="shared" si="177"/>
        <v>0</v>
      </c>
      <c r="DP17" s="77" t="s">
        <v>8</v>
      </c>
      <c r="DQ17" s="31" t="s">
        <v>8</v>
      </c>
      <c r="DR17" s="36">
        <f t="shared" si="178"/>
        <v>0.70722569274927616</v>
      </c>
      <c r="DS17" s="34">
        <f t="shared" si="179"/>
        <v>3.5566452747112787E-2</v>
      </c>
      <c r="DT17" s="54">
        <f t="shared" si="180"/>
        <v>480600.70178387355</v>
      </c>
      <c r="DU17" s="128">
        <f t="shared" si="181"/>
        <v>0</v>
      </c>
      <c r="DV17" s="77" t="s">
        <v>8</v>
      </c>
      <c r="DW17" s="31" t="s">
        <v>8</v>
      </c>
      <c r="DX17" s="36">
        <f t="shared" si="182"/>
        <v>0.70722569274927616</v>
      </c>
      <c r="DY17" s="34">
        <f t="shared" si="183"/>
        <v>3.5566452747112787E-2</v>
      </c>
      <c r="DZ17" s="35">
        <f t="shared" si="184"/>
        <v>480600.70178387355</v>
      </c>
      <c r="EA17" s="81">
        <f t="shared" si="185"/>
        <v>0</v>
      </c>
      <c r="EB17" s="77" t="s">
        <v>8</v>
      </c>
      <c r="EC17" s="31" t="s">
        <v>8</v>
      </c>
      <c r="ED17" s="36">
        <f t="shared" si="186"/>
        <v>0.70722569274927616</v>
      </c>
      <c r="EE17" s="34">
        <f t="shared" si="187"/>
        <v>3.5566452747112787E-2</v>
      </c>
      <c r="EF17" s="35">
        <f t="shared" si="188"/>
        <v>480600.70178387355</v>
      </c>
      <c r="EG17" s="81">
        <f t="shared" si="189"/>
        <v>0</v>
      </c>
      <c r="EH17" s="77" t="s">
        <v>8</v>
      </c>
      <c r="EI17" s="31" t="s">
        <v>8</v>
      </c>
      <c r="EJ17" s="36">
        <f t="shared" si="190"/>
        <v>0.70722569274927616</v>
      </c>
      <c r="EK17" s="34">
        <f t="shared" si="191"/>
        <v>3.5566452747112787E-2</v>
      </c>
      <c r="EL17" s="35">
        <f t="shared" si="192"/>
        <v>480600.70178387355</v>
      </c>
      <c r="EM17" s="81">
        <f t="shared" si="193"/>
        <v>0</v>
      </c>
      <c r="EN17" s="77" t="s">
        <v>8</v>
      </c>
      <c r="EO17" s="31" t="s">
        <v>8</v>
      </c>
      <c r="EP17" s="36">
        <f t="shared" si="194"/>
        <v>0.70722569274927616</v>
      </c>
      <c r="EQ17" s="34">
        <f t="shared" si="195"/>
        <v>3.5566452747112787E-2</v>
      </c>
      <c r="ER17" s="35">
        <f t="shared" si="196"/>
        <v>480600.70178387355</v>
      </c>
      <c r="ES17" s="81">
        <f t="shared" si="197"/>
        <v>0</v>
      </c>
      <c r="ET17" s="77" t="s">
        <v>8</v>
      </c>
      <c r="EU17" s="31" t="s">
        <v>8</v>
      </c>
      <c r="EV17" s="36">
        <f t="shared" si="198"/>
        <v>0.70722569274927616</v>
      </c>
      <c r="EW17" s="34">
        <f t="shared" si="199"/>
        <v>3.5566452747112787E-2</v>
      </c>
      <c r="EX17" s="35">
        <f t="shared" si="200"/>
        <v>480600.70178387355</v>
      </c>
      <c r="EY17" s="81">
        <f t="shared" si="201"/>
        <v>0</v>
      </c>
      <c r="EZ17" s="77" t="s">
        <v>8</v>
      </c>
      <c r="FA17" s="31" t="s">
        <v>8</v>
      </c>
      <c r="FB17" s="36">
        <f t="shared" si="202"/>
        <v>0.70722569274927616</v>
      </c>
      <c r="FC17" s="34">
        <f t="shared" si="203"/>
        <v>3.5566452747112787E-2</v>
      </c>
      <c r="FD17" s="35">
        <f t="shared" si="204"/>
        <v>480600.70178387355</v>
      </c>
      <c r="FE17" s="81">
        <f t="shared" si="205"/>
        <v>0</v>
      </c>
      <c r="FF17" s="77" t="s">
        <v>8</v>
      </c>
      <c r="FG17" s="31" t="s">
        <v>8</v>
      </c>
      <c r="FH17" s="36">
        <f t="shared" si="206"/>
        <v>0.70722569274927616</v>
      </c>
      <c r="FI17" s="34">
        <f t="shared" si="207"/>
        <v>3.5566452747112787E-2</v>
      </c>
      <c r="FJ17" s="35">
        <f t="shared" si="208"/>
        <v>480600.70178387355</v>
      </c>
      <c r="FK17" s="81">
        <f t="shared" si="209"/>
        <v>0</v>
      </c>
      <c r="FL17" s="77" t="s">
        <v>8</v>
      </c>
      <c r="FM17" s="31" t="s">
        <v>8</v>
      </c>
      <c r="FN17" s="36">
        <f t="shared" si="210"/>
        <v>0.70722569274927616</v>
      </c>
      <c r="FO17" s="34">
        <f t="shared" si="211"/>
        <v>3.5566452747112787E-2</v>
      </c>
      <c r="FP17" s="35">
        <f t="shared" si="212"/>
        <v>480600.70178387355</v>
      </c>
      <c r="FQ17" s="81">
        <f t="shared" si="213"/>
        <v>0</v>
      </c>
      <c r="FR17" s="77" t="s">
        <v>8</v>
      </c>
      <c r="FS17" s="31" t="s">
        <v>8</v>
      </c>
      <c r="FT17" s="36">
        <f t="shared" si="214"/>
        <v>0.70722569274927616</v>
      </c>
      <c r="FU17" s="34">
        <f t="shared" si="215"/>
        <v>3.5566452747112787E-2</v>
      </c>
      <c r="FV17" s="35">
        <f t="shared" si="216"/>
        <v>480600.70178387355</v>
      </c>
      <c r="FW17" s="81">
        <f t="shared" si="217"/>
        <v>0</v>
      </c>
      <c r="FX17" s="77" t="s">
        <v>8</v>
      </c>
      <c r="FY17" s="31" t="s">
        <v>8</v>
      </c>
      <c r="FZ17" s="36">
        <f t="shared" si="218"/>
        <v>0.70722569274927616</v>
      </c>
      <c r="GA17" s="34">
        <f t="shared" si="219"/>
        <v>3.5566452747112787E-2</v>
      </c>
      <c r="GB17" s="35">
        <f t="shared" si="220"/>
        <v>480600.70178387355</v>
      </c>
      <c r="GC17" s="81">
        <f t="shared" si="221"/>
        <v>0</v>
      </c>
      <c r="GD17" s="77" t="s">
        <v>8</v>
      </c>
      <c r="GE17" s="31" t="s">
        <v>8</v>
      </c>
      <c r="GF17" s="36">
        <f t="shared" si="222"/>
        <v>0.70722569274927616</v>
      </c>
      <c r="GG17" s="34">
        <f t="shared" si="223"/>
        <v>3.5566452747112787E-2</v>
      </c>
      <c r="GH17" s="35">
        <f t="shared" si="224"/>
        <v>480600.70178387355</v>
      </c>
      <c r="GI17" s="128">
        <f t="shared" si="225"/>
        <v>0</v>
      </c>
      <c r="GJ17" s="185">
        <f t="shared" si="227"/>
        <v>2608479.5369146797</v>
      </c>
      <c r="GK17" s="98">
        <f t="shared" si="228"/>
        <v>3652612.6863369867</v>
      </c>
      <c r="GL17" s="261">
        <f t="shared" si="226"/>
        <v>0.70722569274927616</v>
      </c>
      <c r="GM17" s="254"/>
      <c r="GN17" s="254"/>
      <c r="GO17" s="191"/>
    </row>
    <row r="18" spans="1:197" s="26" customFormat="1" ht="48" thickBot="1" x14ac:dyDescent="0.3">
      <c r="A18" s="123" t="s">
        <v>183</v>
      </c>
      <c r="B18" s="162" t="s">
        <v>8</v>
      </c>
      <c r="C18" s="162" t="s">
        <v>8</v>
      </c>
      <c r="D18" s="162" t="s">
        <v>8</v>
      </c>
      <c r="E18" s="162" t="s">
        <v>8</v>
      </c>
      <c r="F18" s="162" t="s">
        <v>8</v>
      </c>
      <c r="G18" s="107">
        <f>'Исходные данные'!C20</f>
        <v>1215</v>
      </c>
      <c r="H18" s="32">
        <f>'Исходные данные'!D20</f>
        <v>3903252</v>
      </c>
      <c r="I18" s="33">
        <f>'Расчет КРП'!E16</f>
        <v>2.3501799023387306</v>
      </c>
      <c r="J18" s="114" t="s">
        <v>8</v>
      </c>
      <c r="K18" s="118">
        <f t="shared" si="104"/>
        <v>0.47452466435531981</v>
      </c>
      <c r="L18" s="78">
        <f t="shared" si="105"/>
        <v>728674.19675364927</v>
      </c>
      <c r="M18" s="74">
        <f t="shared" si="106"/>
        <v>0.56311076605690291</v>
      </c>
      <c r="N18" s="31" t="s">
        <v>8</v>
      </c>
      <c r="O18" s="34">
        <f t="shared" si="107"/>
        <v>-0.10139186390687954</v>
      </c>
      <c r="P18" s="182">
        <f t="shared" si="108"/>
        <v>0</v>
      </c>
      <c r="Q18" s="172">
        <f t="shared" si="109"/>
        <v>0</v>
      </c>
      <c r="R18" s="167" t="s">
        <v>8</v>
      </c>
      <c r="S18" s="31" t="s">
        <v>8</v>
      </c>
      <c r="T18" s="36">
        <f t="shared" si="110"/>
        <v>0.56311076605690291</v>
      </c>
      <c r="U18" s="34">
        <f t="shared" si="111"/>
        <v>1.9548175720399685E-3</v>
      </c>
      <c r="V18" s="54">
        <f t="shared" si="112"/>
        <v>21066.168756374969</v>
      </c>
      <c r="W18" s="81">
        <f t="shared" si="113"/>
        <v>21066.168756374969</v>
      </c>
      <c r="X18" s="77" t="s">
        <v>8</v>
      </c>
      <c r="Y18" s="31" t="s">
        <v>8</v>
      </c>
      <c r="Z18" s="36">
        <f t="shared" si="114"/>
        <v>0.56567181429523627</v>
      </c>
      <c r="AA18" s="34">
        <f t="shared" si="115"/>
        <v>7.2988863017323879E-2</v>
      </c>
      <c r="AB18" s="54">
        <f t="shared" si="116"/>
        <v>840167.01447476482</v>
      </c>
      <c r="AC18" s="81">
        <f t="shared" si="117"/>
        <v>840167.01447476482</v>
      </c>
      <c r="AD18" s="77" t="s">
        <v>8</v>
      </c>
      <c r="AE18" s="31" t="s">
        <v>8</v>
      </c>
      <c r="AF18" s="36">
        <f t="shared" si="118"/>
        <v>0.66781227833549006</v>
      </c>
      <c r="AG18" s="34">
        <f t="shared" si="119"/>
        <v>3.4745849486561009E-2</v>
      </c>
      <c r="AH18" s="54">
        <f t="shared" si="120"/>
        <v>421016.50431386661</v>
      </c>
      <c r="AI18" s="81">
        <f t="shared" si="121"/>
        <v>314764.0742710075</v>
      </c>
      <c r="AJ18" s="77" t="s">
        <v>8</v>
      </c>
      <c r="AK18" s="31" t="s">
        <v>8</v>
      </c>
      <c r="AL18" s="36">
        <f t="shared" si="122"/>
        <v>0.70607865639526257</v>
      </c>
      <c r="AM18" s="34">
        <f t="shared" si="123"/>
        <v>3.6713489101126373E-2</v>
      </c>
      <c r="AN18" s="54">
        <f t="shared" si="124"/>
        <v>459171.66807464213</v>
      </c>
      <c r="AO18" s="81">
        <f t="shared" si="125"/>
        <v>0</v>
      </c>
      <c r="AP18" s="77" t="s">
        <v>8</v>
      </c>
      <c r="AQ18" s="31" t="s">
        <v>8</v>
      </c>
      <c r="AR18" s="36">
        <f t="shared" si="126"/>
        <v>0.70607865639526257</v>
      </c>
      <c r="AS18" s="34">
        <f t="shared" si="127"/>
        <v>3.6713489101126373E-2</v>
      </c>
      <c r="AT18" s="54">
        <f t="shared" si="128"/>
        <v>459171.66807464213</v>
      </c>
      <c r="AU18" s="80">
        <f t="shared" si="129"/>
        <v>0</v>
      </c>
      <c r="AV18" s="77" t="s">
        <v>8</v>
      </c>
      <c r="AW18" s="31" t="s">
        <v>8</v>
      </c>
      <c r="AX18" s="36">
        <f t="shared" si="130"/>
        <v>0.70607865639526257</v>
      </c>
      <c r="AY18" s="34">
        <f t="shared" si="131"/>
        <v>3.6713489101126373E-2</v>
      </c>
      <c r="AZ18" s="54">
        <f t="shared" si="132"/>
        <v>459171.66807464213</v>
      </c>
      <c r="BA18" s="81">
        <f t="shared" si="133"/>
        <v>0</v>
      </c>
      <c r="BB18" s="77" t="s">
        <v>8</v>
      </c>
      <c r="BC18" s="31" t="s">
        <v>8</v>
      </c>
      <c r="BD18" s="36">
        <f t="shared" si="134"/>
        <v>0.70607865639526257</v>
      </c>
      <c r="BE18" s="34">
        <f t="shared" si="135"/>
        <v>3.6713489101126373E-2</v>
      </c>
      <c r="BF18" s="54">
        <f t="shared" si="136"/>
        <v>459171.66807464213</v>
      </c>
      <c r="BG18" s="81">
        <f t="shared" si="137"/>
        <v>0</v>
      </c>
      <c r="BH18" s="77" t="s">
        <v>8</v>
      </c>
      <c r="BI18" s="31" t="s">
        <v>8</v>
      </c>
      <c r="BJ18" s="36">
        <f t="shared" si="138"/>
        <v>0.70607865639526257</v>
      </c>
      <c r="BK18" s="34">
        <f t="shared" si="139"/>
        <v>3.6713489101126373E-2</v>
      </c>
      <c r="BL18" s="54">
        <f t="shared" si="140"/>
        <v>459171.66807464213</v>
      </c>
      <c r="BM18" s="81">
        <f t="shared" si="141"/>
        <v>0</v>
      </c>
      <c r="BN18" s="77" t="s">
        <v>8</v>
      </c>
      <c r="BO18" s="31" t="s">
        <v>8</v>
      </c>
      <c r="BP18" s="36">
        <f t="shared" si="142"/>
        <v>0.70607865639526257</v>
      </c>
      <c r="BQ18" s="34">
        <f t="shared" si="143"/>
        <v>3.6713489101126373E-2</v>
      </c>
      <c r="BR18" s="54">
        <f t="shared" si="144"/>
        <v>459171.66807464213</v>
      </c>
      <c r="BS18" s="128">
        <f t="shared" si="145"/>
        <v>0</v>
      </c>
      <c r="BT18" s="77" t="s">
        <v>8</v>
      </c>
      <c r="BU18" s="31" t="s">
        <v>8</v>
      </c>
      <c r="BV18" s="36">
        <f t="shared" si="146"/>
        <v>0.70607865639526257</v>
      </c>
      <c r="BW18" s="34">
        <f t="shared" si="147"/>
        <v>3.6713489101126373E-2</v>
      </c>
      <c r="BX18" s="54">
        <f t="shared" si="148"/>
        <v>459171.66807464213</v>
      </c>
      <c r="BY18" s="128">
        <f t="shared" si="149"/>
        <v>0</v>
      </c>
      <c r="BZ18" s="77" t="s">
        <v>8</v>
      </c>
      <c r="CA18" s="31" t="s">
        <v>8</v>
      </c>
      <c r="CB18" s="36">
        <f t="shared" si="150"/>
        <v>0.70607865639526257</v>
      </c>
      <c r="CC18" s="34">
        <f t="shared" si="151"/>
        <v>3.6713489101126373E-2</v>
      </c>
      <c r="CD18" s="54">
        <f t="shared" si="152"/>
        <v>459171.66807464213</v>
      </c>
      <c r="CE18" s="128">
        <f t="shared" si="153"/>
        <v>0</v>
      </c>
      <c r="CF18" s="77" t="s">
        <v>8</v>
      </c>
      <c r="CG18" s="31" t="s">
        <v>8</v>
      </c>
      <c r="CH18" s="36">
        <f t="shared" si="154"/>
        <v>0.70607865639526257</v>
      </c>
      <c r="CI18" s="34">
        <f t="shared" si="155"/>
        <v>3.6713489101126373E-2</v>
      </c>
      <c r="CJ18" s="54">
        <f t="shared" si="156"/>
        <v>459171.66807464213</v>
      </c>
      <c r="CK18" s="128">
        <f t="shared" si="157"/>
        <v>0</v>
      </c>
      <c r="CL18" s="77" t="s">
        <v>8</v>
      </c>
      <c r="CM18" s="31" t="s">
        <v>8</v>
      </c>
      <c r="CN18" s="36">
        <f t="shared" si="158"/>
        <v>0.70607865639526257</v>
      </c>
      <c r="CO18" s="34">
        <f t="shared" si="159"/>
        <v>3.6713489101126373E-2</v>
      </c>
      <c r="CP18" s="54">
        <f t="shared" si="160"/>
        <v>459171.66807464213</v>
      </c>
      <c r="CQ18" s="128">
        <f t="shared" si="161"/>
        <v>0</v>
      </c>
      <c r="CR18" s="77" t="s">
        <v>8</v>
      </c>
      <c r="CS18" s="31" t="s">
        <v>8</v>
      </c>
      <c r="CT18" s="36">
        <f t="shared" si="162"/>
        <v>0.70607865639526257</v>
      </c>
      <c r="CU18" s="34">
        <f t="shared" si="163"/>
        <v>3.6713489101126373E-2</v>
      </c>
      <c r="CV18" s="54">
        <f t="shared" si="164"/>
        <v>459171.66807464213</v>
      </c>
      <c r="CW18" s="128">
        <f t="shared" si="165"/>
        <v>0</v>
      </c>
      <c r="CX18" s="77" t="s">
        <v>8</v>
      </c>
      <c r="CY18" s="31" t="s">
        <v>8</v>
      </c>
      <c r="CZ18" s="36">
        <f t="shared" si="166"/>
        <v>0.70607865639526257</v>
      </c>
      <c r="DA18" s="34">
        <f t="shared" si="167"/>
        <v>3.6713489101126373E-2</v>
      </c>
      <c r="DB18" s="54">
        <f t="shared" si="168"/>
        <v>459171.66807464213</v>
      </c>
      <c r="DC18" s="128">
        <f t="shared" si="169"/>
        <v>0</v>
      </c>
      <c r="DD18" s="77" t="s">
        <v>8</v>
      </c>
      <c r="DE18" s="31" t="s">
        <v>8</v>
      </c>
      <c r="DF18" s="36">
        <f t="shared" si="170"/>
        <v>0.70607865639526257</v>
      </c>
      <c r="DG18" s="34">
        <f t="shared" si="171"/>
        <v>3.6713489101126373E-2</v>
      </c>
      <c r="DH18" s="54">
        <f t="shared" si="172"/>
        <v>459171.66807464213</v>
      </c>
      <c r="DI18" s="128">
        <f t="shared" si="173"/>
        <v>0</v>
      </c>
      <c r="DJ18" s="77" t="s">
        <v>8</v>
      </c>
      <c r="DK18" s="31" t="s">
        <v>8</v>
      </c>
      <c r="DL18" s="36">
        <f t="shared" si="174"/>
        <v>0.70607865639526257</v>
      </c>
      <c r="DM18" s="34">
        <f t="shared" si="175"/>
        <v>3.6713489101126373E-2</v>
      </c>
      <c r="DN18" s="54">
        <f t="shared" si="176"/>
        <v>459171.66807464213</v>
      </c>
      <c r="DO18" s="128">
        <f t="shared" si="177"/>
        <v>0</v>
      </c>
      <c r="DP18" s="77" t="s">
        <v>8</v>
      </c>
      <c r="DQ18" s="31" t="s">
        <v>8</v>
      </c>
      <c r="DR18" s="36">
        <f t="shared" si="178"/>
        <v>0.70607865639526257</v>
      </c>
      <c r="DS18" s="34">
        <f t="shared" si="179"/>
        <v>3.6713489101126373E-2</v>
      </c>
      <c r="DT18" s="54">
        <f t="shared" si="180"/>
        <v>459171.66807464213</v>
      </c>
      <c r="DU18" s="128">
        <f t="shared" si="181"/>
        <v>0</v>
      </c>
      <c r="DV18" s="77" t="s">
        <v>8</v>
      </c>
      <c r="DW18" s="31" t="s">
        <v>8</v>
      </c>
      <c r="DX18" s="36">
        <f t="shared" si="182"/>
        <v>0.70607865639526257</v>
      </c>
      <c r="DY18" s="34">
        <f t="shared" si="183"/>
        <v>3.6713489101126373E-2</v>
      </c>
      <c r="DZ18" s="35">
        <f t="shared" si="184"/>
        <v>459171.66807464213</v>
      </c>
      <c r="EA18" s="81">
        <f t="shared" si="185"/>
        <v>0</v>
      </c>
      <c r="EB18" s="77" t="s">
        <v>8</v>
      </c>
      <c r="EC18" s="31" t="s">
        <v>8</v>
      </c>
      <c r="ED18" s="36">
        <f t="shared" si="186"/>
        <v>0.70607865639526257</v>
      </c>
      <c r="EE18" s="34">
        <f t="shared" si="187"/>
        <v>3.6713489101126373E-2</v>
      </c>
      <c r="EF18" s="35">
        <f t="shared" si="188"/>
        <v>459171.66807464213</v>
      </c>
      <c r="EG18" s="81">
        <f t="shared" si="189"/>
        <v>0</v>
      </c>
      <c r="EH18" s="77" t="s">
        <v>8</v>
      </c>
      <c r="EI18" s="31" t="s">
        <v>8</v>
      </c>
      <c r="EJ18" s="36">
        <f t="shared" si="190"/>
        <v>0.70607865639526257</v>
      </c>
      <c r="EK18" s="34">
        <f t="shared" si="191"/>
        <v>3.6713489101126373E-2</v>
      </c>
      <c r="EL18" s="35">
        <f t="shared" si="192"/>
        <v>459171.66807464213</v>
      </c>
      <c r="EM18" s="81">
        <f t="shared" si="193"/>
        <v>0</v>
      </c>
      <c r="EN18" s="77" t="s">
        <v>8</v>
      </c>
      <c r="EO18" s="31" t="s">
        <v>8</v>
      </c>
      <c r="EP18" s="36">
        <f t="shared" si="194"/>
        <v>0.70607865639526257</v>
      </c>
      <c r="EQ18" s="34">
        <f t="shared" si="195"/>
        <v>3.6713489101126373E-2</v>
      </c>
      <c r="ER18" s="35">
        <f t="shared" si="196"/>
        <v>459171.66807464213</v>
      </c>
      <c r="ES18" s="81">
        <f t="shared" si="197"/>
        <v>0</v>
      </c>
      <c r="ET18" s="77" t="s">
        <v>8</v>
      </c>
      <c r="EU18" s="31" t="s">
        <v>8</v>
      </c>
      <c r="EV18" s="36">
        <f t="shared" si="198"/>
        <v>0.70607865639526257</v>
      </c>
      <c r="EW18" s="34">
        <f t="shared" si="199"/>
        <v>3.6713489101126373E-2</v>
      </c>
      <c r="EX18" s="35">
        <f t="shared" si="200"/>
        <v>459171.66807464213</v>
      </c>
      <c r="EY18" s="81">
        <f t="shared" si="201"/>
        <v>0</v>
      </c>
      <c r="EZ18" s="77" t="s">
        <v>8</v>
      </c>
      <c r="FA18" s="31" t="s">
        <v>8</v>
      </c>
      <c r="FB18" s="36">
        <f t="shared" si="202"/>
        <v>0.70607865639526257</v>
      </c>
      <c r="FC18" s="34">
        <f t="shared" si="203"/>
        <v>3.6713489101126373E-2</v>
      </c>
      <c r="FD18" s="35">
        <f t="shared" si="204"/>
        <v>459171.66807464213</v>
      </c>
      <c r="FE18" s="81">
        <f t="shared" si="205"/>
        <v>0</v>
      </c>
      <c r="FF18" s="77" t="s">
        <v>8</v>
      </c>
      <c r="FG18" s="31" t="s">
        <v>8</v>
      </c>
      <c r="FH18" s="36">
        <f t="shared" si="206"/>
        <v>0.70607865639526257</v>
      </c>
      <c r="FI18" s="34">
        <f t="shared" si="207"/>
        <v>3.6713489101126373E-2</v>
      </c>
      <c r="FJ18" s="35">
        <f t="shared" si="208"/>
        <v>459171.66807464213</v>
      </c>
      <c r="FK18" s="81">
        <f t="shared" si="209"/>
        <v>0</v>
      </c>
      <c r="FL18" s="77" t="s">
        <v>8</v>
      </c>
      <c r="FM18" s="31" t="s">
        <v>8</v>
      </c>
      <c r="FN18" s="36">
        <f t="shared" si="210"/>
        <v>0.70607865639526257</v>
      </c>
      <c r="FO18" s="34">
        <f t="shared" si="211"/>
        <v>3.6713489101126373E-2</v>
      </c>
      <c r="FP18" s="35">
        <f t="shared" si="212"/>
        <v>459171.66807464213</v>
      </c>
      <c r="FQ18" s="81">
        <f t="shared" si="213"/>
        <v>0</v>
      </c>
      <c r="FR18" s="77" t="s">
        <v>8</v>
      </c>
      <c r="FS18" s="31" t="s">
        <v>8</v>
      </c>
      <c r="FT18" s="36">
        <f t="shared" si="214"/>
        <v>0.70607865639526257</v>
      </c>
      <c r="FU18" s="34">
        <f t="shared" si="215"/>
        <v>3.6713489101126373E-2</v>
      </c>
      <c r="FV18" s="35">
        <f t="shared" si="216"/>
        <v>459171.66807464213</v>
      </c>
      <c r="FW18" s="81">
        <f t="shared" si="217"/>
        <v>0</v>
      </c>
      <c r="FX18" s="77" t="s">
        <v>8</v>
      </c>
      <c r="FY18" s="31" t="s">
        <v>8</v>
      </c>
      <c r="FZ18" s="36">
        <f t="shared" si="218"/>
        <v>0.70607865639526257</v>
      </c>
      <c r="GA18" s="34">
        <f t="shared" si="219"/>
        <v>3.6713489101126373E-2</v>
      </c>
      <c r="GB18" s="35">
        <f t="shared" si="220"/>
        <v>459171.66807464213</v>
      </c>
      <c r="GC18" s="81">
        <f t="shared" si="221"/>
        <v>0</v>
      </c>
      <c r="GD18" s="77" t="s">
        <v>8</v>
      </c>
      <c r="GE18" s="31" t="s">
        <v>8</v>
      </c>
      <c r="GF18" s="36">
        <f t="shared" si="222"/>
        <v>0.70607865639526257</v>
      </c>
      <c r="GG18" s="34">
        <f t="shared" si="223"/>
        <v>3.6713489101126373E-2</v>
      </c>
      <c r="GH18" s="35">
        <f t="shared" si="224"/>
        <v>459171.66807464213</v>
      </c>
      <c r="GI18" s="128">
        <f t="shared" si="225"/>
        <v>0</v>
      </c>
      <c r="GJ18" s="185">
        <f t="shared" si="227"/>
        <v>1175997.2575021472</v>
      </c>
      <c r="GK18" s="98">
        <f t="shared" si="228"/>
        <v>1904671.4542557965</v>
      </c>
      <c r="GL18" s="261">
        <f t="shared" si="226"/>
        <v>0.70607865639526257</v>
      </c>
      <c r="GM18" s="254"/>
      <c r="GN18" s="254"/>
      <c r="GO18" s="191"/>
    </row>
    <row r="19" spans="1:197" s="26" customFormat="1" ht="63.75" thickBot="1" x14ac:dyDescent="0.3">
      <c r="A19" s="123" t="s">
        <v>184</v>
      </c>
      <c r="B19" s="162" t="s">
        <v>8</v>
      </c>
      <c r="C19" s="162" t="s">
        <v>8</v>
      </c>
      <c r="D19" s="162" t="s">
        <v>8</v>
      </c>
      <c r="E19" s="162" t="s">
        <v>8</v>
      </c>
      <c r="F19" s="162" t="s">
        <v>8</v>
      </c>
      <c r="G19" s="107">
        <f>'Исходные данные'!C21</f>
        <v>1610</v>
      </c>
      <c r="H19" s="32">
        <f>'Исходные данные'!D21</f>
        <v>2928578</v>
      </c>
      <c r="I19" s="33">
        <f>'Расчет КРП'!E17</f>
        <v>1.9683885890516577</v>
      </c>
      <c r="J19" s="114" t="s">
        <v>8</v>
      </c>
      <c r="K19" s="118">
        <f t="shared" si="104"/>
        <v>0.32079653339636977</v>
      </c>
      <c r="L19" s="78">
        <f t="shared" si="105"/>
        <v>965568.2771797328</v>
      </c>
      <c r="M19" s="74">
        <f t="shared" si="106"/>
        <v>0.42656491521060297</v>
      </c>
      <c r="N19" s="31" t="s">
        <v>8</v>
      </c>
      <c r="O19" s="34">
        <f t="shared" si="107"/>
        <v>3.5153986939420401E-2</v>
      </c>
      <c r="P19" s="182">
        <f t="shared" si="108"/>
        <v>387737.78980629478</v>
      </c>
      <c r="Q19" s="172">
        <f t="shared" si="109"/>
        <v>387737.78980629478</v>
      </c>
      <c r="R19" s="167" t="s">
        <v>8</v>
      </c>
      <c r="S19" s="31" t="s">
        <v>8</v>
      </c>
      <c r="T19" s="36">
        <f t="shared" si="110"/>
        <v>0.46903772584997466</v>
      </c>
      <c r="U19" s="34">
        <f t="shared" si="111"/>
        <v>9.6027857778968218E-2</v>
      </c>
      <c r="V19" s="54">
        <f t="shared" si="112"/>
        <v>1148512.9434742196</v>
      </c>
      <c r="W19" s="81">
        <f t="shared" si="113"/>
        <v>1148512.9434742196</v>
      </c>
      <c r="X19" s="77" t="s">
        <v>8</v>
      </c>
      <c r="Y19" s="31" t="s">
        <v>8</v>
      </c>
      <c r="Z19" s="36">
        <f t="shared" si="114"/>
        <v>0.59484587261177868</v>
      </c>
      <c r="AA19" s="34">
        <f t="shared" si="115"/>
        <v>4.3814804700781473E-2</v>
      </c>
      <c r="AB19" s="54">
        <f t="shared" si="116"/>
        <v>559743.72977266891</v>
      </c>
      <c r="AC19" s="81">
        <f t="shared" si="117"/>
        <v>559743.72977266891</v>
      </c>
      <c r="AD19" s="77" t="s">
        <v>8</v>
      </c>
      <c r="AE19" s="31" t="s">
        <v>8</v>
      </c>
      <c r="AF19" s="36">
        <f t="shared" si="118"/>
        <v>0.65616021974592587</v>
      </c>
      <c r="AG19" s="34">
        <f t="shared" si="119"/>
        <v>4.6397908076125205E-2</v>
      </c>
      <c r="AH19" s="54">
        <f t="shared" si="120"/>
        <v>623955.92900699098</v>
      </c>
      <c r="AI19" s="81">
        <f t="shared" si="121"/>
        <v>466487.43782589852</v>
      </c>
      <c r="AJ19" s="77" t="s">
        <v>8</v>
      </c>
      <c r="AK19" s="31" t="s">
        <v>8</v>
      </c>
      <c r="AL19" s="36">
        <f t="shared" si="122"/>
        <v>0.70725926949891282</v>
      </c>
      <c r="AM19" s="34">
        <f t="shared" si="123"/>
        <v>3.5532875997476121E-2</v>
      </c>
      <c r="AN19" s="54">
        <f t="shared" si="124"/>
        <v>493218.22086097737</v>
      </c>
      <c r="AO19" s="81">
        <f t="shared" si="125"/>
        <v>0</v>
      </c>
      <c r="AP19" s="77" t="s">
        <v>8</v>
      </c>
      <c r="AQ19" s="31" t="s">
        <v>8</v>
      </c>
      <c r="AR19" s="36">
        <f t="shared" si="126"/>
        <v>0.70725926949891282</v>
      </c>
      <c r="AS19" s="34">
        <f t="shared" si="127"/>
        <v>3.5532875997476121E-2</v>
      </c>
      <c r="AT19" s="54">
        <f t="shared" si="128"/>
        <v>493218.22086097737</v>
      </c>
      <c r="AU19" s="80">
        <f t="shared" si="129"/>
        <v>0</v>
      </c>
      <c r="AV19" s="77" t="s">
        <v>8</v>
      </c>
      <c r="AW19" s="31" t="s">
        <v>8</v>
      </c>
      <c r="AX19" s="36">
        <f t="shared" si="130"/>
        <v>0.70725926949891282</v>
      </c>
      <c r="AY19" s="34">
        <f t="shared" si="131"/>
        <v>3.5532875997476121E-2</v>
      </c>
      <c r="AZ19" s="54">
        <f t="shared" si="132"/>
        <v>493218.22086097737</v>
      </c>
      <c r="BA19" s="81">
        <f t="shared" si="133"/>
        <v>0</v>
      </c>
      <c r="BB19" s="77" t="s">
        <v>8</v>
      </c>
      <c r="BC19" s="31" t="s">
        <v>8</v>
      </c>
      <c r="BD19" s="36">
        <f t="shared" si="134"/>
        <v>0.70725926949891282</v>
      </c>
      <c r="BE19" s="34">
        <f t="shared" si="135"/>
        <v>3.5532875997476121E-2</v>
      </c>
      <c r="BF19" s="54">
        <f t="shared" si="136"/>
        <v>493218.22086097737</v>
      </c>
      <c r="BG19" s="81">
        <f t="shared" si="137"/>
        <v>0</v>
      </c>
      <c r="BH19" s="77" t="s">
        <v>8</v>
      </c>
      <c r="BI19" s="31" t="s">
        <v>8</v>
      </c>
      <c r="BJ19" s="36">
        <f t="shared" si="138"/>
        <v>0.70725926949891282</v>
      </c>
      <c r="BK19" s="34">
        <f t="shared" si="139"/>
        <v>3.5532875997476121E-2</v>
      </c>
      <c r="BL19" s="54">
        <f t="shared" si="140"/>
        <v>493218.22086097737</v>
      </c>
      <c r="BM19" s="81">
        <f t="shared" si="141"/>
        <v>0</v>
      </c>
      <c r="BN19" s="77" t="s">
        <v>8</v>
      </c>
      <c r="BO19" s="31" t="s">
        <v>8</v>
      </c>
      <c r="BP19" s="36">
        <f t="shared" si="142"/>
        <v>0.70725926949891282</v>
      </c>
      <c r="BQ19" s="34">
        <f t="shared" si="143"/>
        <v>3.5532875997476121E-2</v>
      </c>
      <c r="BR19" s="54">
        <f t="shared" si="144"/>
        <v>493218.22086097737</v>
      </c>
      <c r="BS19" s="128">
        <f t="shared" si="145"/>
        <v>0</v>
      </c>
      <c r="BT19" s="77" t="s">
        <v>8</v>
      </c>
      <c r="BU19" s="31" t="s">
        <v>8</v>
      </c>
      <c r="BV19" s="36">
        <f t="shared" si="146"/>
        <v>0.70725926949891282</v>
      </c>
      <c r="BW19" s="34">
        <f t="shared" si="147"/>
        <v>3.5532875997476121E-2</v>
      </c>
      <c r="BX19" s="54">
        <f t="shared" si="148"/>
        <v>493218.22086097737</v>
      </c>
      <c r="BY19" s="128">
        <f t="shared" si="149"/>
        <v>0</v>
      </c>
      <c r="BZ19" s="77" t="s">
        <v>8</v>
      </c>
      <c r="CA19" s="31" t="s">
        <v>8</v>
      </c>
      <c r="CB19" s="36">
        <f t="shared" si="150"/>
        <v>0.70725926949891282</v>
      </c>
      <c r="CC19" s="34">
        <f t="shared" si="151"/>
        <v>3.5532875997476121E-2</v>
      </c>
      <c r="CD19" s="54">
        <f t="shared" si="152"/>
        <v>493218.22086097737</v>
      </c>
      <c r="CE19" s="128">
        <f t="shared" si="153"/>
        <v>0</v>
      </c>
      <c r="CF19" s="77" t="s">
        <v>8</v>
      </c>
      <c r="CG19" s="31" t="s">
        <v>8</v>
      </c>
      <c r="CH19" s="36">
        <f t="shared" si="154"/>
        <v>0.70725926949891282</v>
      </c>
      <c r="CI19" s="34">
        <f t="shared" si="155"/>
        <v>3.5532875997476121E-2</v>
      </c>
      <c r="CJ19" s="54">
        <f t="shared" si="156"/>
        <v>493218.22086097737</v>
      </c>
      <c r="CK19" s="128">
        <f t="shared" si="157"/>
        <v>0</v>
      </c>
      <c r="CL19" s="77" t="s">
        <v>8</v>
      </c>
      <c r="CM19" s="31" t="s">
        <v>8</v>
      </c>
      <c r="CN19" s="36">
        <f t="shared" si="158"/>
        <v>0.70725926949891282</v>
      </c>
      <c r="CO19" s="34">
        <f t="shared" si="159"/>
        <v>3.5532875997476121E-2</v>
      </c>
      <c r="CP19" s="54">
        <f t="shared" si="160"/>
        <v>493218.22086097737</v>
      </c>
      <c r="CQ19" s="128">
        <f t="shared" si="161"/>
        <v>0</v>
      </c>
      <c r="CR19" s="77" t="s">
        <v>8</v>
      </c>
      <c r="CS19" s="31" t="s">
        <v>8</v>
      </c>
      <c r="CT19" s="36">
        <f t="shared" si="162"/>
        <v>0.70725926949891282</v>
      </c>
      <c r="CU19" s="34">
        <f t="shared" si="163"/>
        <v>3.5532875997476121E-2</v>
      </c>
      <c r="CV19" s="54">
        <f t="shared" si="164"/>
        <v>493218.22086097737</v>
      </c>
      <c r="CW19" s="128">
        <f t="shared" si="165"/>
        <v>0</v>
      </c>
      <c r="CX19" s="77" t="s">
        <v>8</v>
      </c>
      <c r="CY19" s="31" t="s">
        <v>8</v>
      </c>
      <c r="CZ19" s="36">
        <f t="shared" si="166"/>
        <v>0.70725926949891282</v>
      </c>
      <c r="DA19" s="34">
        <f t="shared" si="167"/>
        <v>3.5532875997476121E-2</v>
      </c>
      <c r="DB19" s="54">
        <f t="shared" si="168"/>
        <v>493218.22086097737</v>
      </c>
      <c r="DC19" s="128">
        <f t="shared" si="169"/>
        <v>0</v>
      </c>
      <c r="DD19" s="77" t="s">
        <v>8</v>
      </c>
      <c r="DE19" s="31" t="s">
        <v>8</v>
      </c>
      <c r="DF19" s="36">
        <f t="shared" si="170"/>
        <v>0.70725926949891282</v>
      </c>
      <c r="DG19" s="34">
        <f t="shared" si="171"/>
        <v>3.5532875997476121E-2</v>
      </c>
      <c r="DH19" s="54">
        <f t="shared" si="172"/>
        <v>493218.22086097737</v>
      </c>
      <c r="DI19" s="128">
        <f t="shared" si="173"/>
        <v>0</v>
      </c>
      <c r="DJ19" s="77" t="s">
        <v>8</v>
      </c>
      <c r="DK19" s="31" t="s">
        <v>8</v>
      </c>
      <c r="DL19" s="36">
        <f t="shared" si="174"/>
        <v>0.70725926949891282</v>
      </c>
      <c r="DM19" s="34">
        <f t="shared" si="175"/>
        <v>3.5532875997476121E-2</v>
      </c>
      <c r="DN19" s="54">
        <f t="shared" si="176"/>
        <v>493218.22086097737</v>
      </c>
      <c r="DO19" s="128">
        <f t="shared" si="177"/>
        <v>0</v>
      </c>
      <c r="DP19" s="77" t="s">
        <v>8</v>
      </c>
      <c r="DQ19" s="31" t="s">
        <v>8</v>
      </c>
      <c r="DR19" s="36">
        <f t="shared" si="178"/>
        <v>0.70725926949891282</v>
      </c>
      <c r="DS19" s="34">
        <f t="shared" si="179"/>
        <v>3.5532875997476121E-2</v>
      </c>
      <c r="DT19" s="54">
        <f t="shared" si="180"/>
        <v>493218.22086097737</v>
      </c>
      <c r="DU19" s="128">
        <f t="shared" si="181"/>
        <v>0</v>
      </c>
      <c r="DV19" s="77" t="s">
        <v>8</v>
      </c>
      <c r="DW19" s="31" t="s">
        <v>8</v>
      </c>
      <c r="DX19" s="36">
        <f t="shared" si="182"/>
        <v>0.70725926949891282</v>
      </c>
      <c r="DY19" s="34">
        <f t="shared" si="183"/>
        <v>3.5532875997476121E-2</v>
      </c>
      <c r="DZ19" s="35">
        <f t="shared" si="184"/>
        <v>493218.22086097737</v>
      </c>
      <c r="EA19" s="81">
        <f t="shared" si="185"/>
        <v>0</v>
      </c>
      <c r="EB19" s="77" t="s">
        <v>8</v>
      </c>
      <c r="EC19" s="31" t="s">
        <v>8</v>
      </c>
      <c r="ED19" s="36">
        <f t="shared" si="186"/>
        <v>0.70725926949891282</v>
      </c>
      <c r="EE19" s="34">
        <f t="shared" si="187"/>
        <v>3.5532875997476121E-2</v>
      </c>
      <c r="EF19" s="35">
        <f t="shared" si="188"/>
        <v>493218.22086097737</v>
      </c>
      <c r="EG19" s="81">
        <f t="shared" si="189"/>
        <v>0</v>
      </c>
      <c r="EH19" s="77" t="s">
        <v>8</v>
      </c>
      <c r="EI19" s="31" t="s">
        <v>8</v>
      </c>
      <c r="EJ19" s="36">
        <f t="shared" si="190"/>
        <v>0.70725926949891282</v>
      </c>
      <c r="EK19" s="34">
        <f t="shared" si="191"/>
        <v>3.5532875997476121E-2</v>
      </c>
      <c r="EL19" s="35">
        <f t="shared" si="192"/>
        <v>493218.22086097737</v>
      </c>
      <c r="EM19" s="81">
        <f t="shared" si="193"/>
        <v>0</v>
      </c>
      <c r="EN19" s="77" t="s">
        <v>8</v>
      </c>
      <c r="EO19" s="31" t="s">
        <v>8</v>
      </c>
      <c r="EP19" s="36">
        <f t="shared" si="194"/>
        <v>0.70725926949891282</v>
      </c>
      <c r="EQ19" s="34">
        <f t="shared" si="195"/>
        <v>3.5532875997476121E-2</v>
      </c>
      <c r="ER19" s="35">
        <f t="shared" si="196"/>
        <v>493218.22086097737</v>
      </c>
      <c r="ES19" s="81">
        <f t="shared" si="197"/>
        <v>0</v>
      </c>
      <c r="ET19" s="77" t="s">
        <v>8</v>
      </c>
      <c r="EU19" s="31" t="s">
        <v>8</v>
      </c>
      <c r="EV19" s="36">
        <f t="shared" si="198"/>
        <v>0.70725926949891282</v>
      </c>
      <c r="EW19" s="34">
        <f t="shared" si="199"/>
        <v>3.5532875997476121E-2</v>
      </c>
      <c r="EX19" s="35">
        <f t="shared" si="200"/>
        <v>493218.22086097737</v>
      </c>
      <c r="EY19" s="81">
        <f t="shared" si="201"/>
        <v>0</v>
      </c>
      <c r="EZ19" s="77" t="s">
        <v>8</v>
      </c>
      <c r="FA19" s="31" t="s">
        <v>8</v>
      </c>
      <c r="FB19" s="36">
        <f t="shared" si="202"/>
        <v>0.70725926949891282</v>
      </c>
      <c r="FC19" s="34">
        <f t="shared" si="203"/>
        <v>3.5532875997476121E-2</v>
      </c>
      <c r="FD19" s="35">
        <f t="shared" si="204"/>
        <v>493218.22086097737</v>
      </c>
      <c r="FE19" s="81">
        <f t="shared" si="205"/>
        <v>0</v>
      </c>
      <c r="FF19" s="77" t="s">
        <v>8</v>
      </c>
      <c r="FG19" s="31" t="s">
        <v>8</v>
      </c>
      <c r="FH19" s="36">
        <f t="shared" si="206"/>
        <v>0.70725926949891282</v>
      </c>
      <c r="FI19" s="34">
        <f t="shared" si="207"/>
        <v>3.5532875997476121E-2</v>
      </c>
      <c r="FJ19" s="35">
        <f t="shared" si="208"/>
        <v>493218.22086097737</v>
      </c>
      <c r="FK19" s="81">
        <f t="shared" si="209"/>
        <v>0</v>
      </c>
      <c r="FL19" s="77" t="s">
        <v>8</v>
      </c>
      <c r="FM19" s="31" t="s">
        <v>8</v>
      </c>
      <c r="FN19" s="36">
        <f t="shared" si="210"/>
        <v>0.70725926949891282</v>
      </c>
      <c r="FO19" s="34">
        <f t="shared" si="211"/>
        <v>3.5532875997476121E-2</v>
      </c>
      <c r="FP19" s="35">
        <f t="shared" si="212"/>
        <v>493218.22086097737</v>
      </c>
      <c r="FQ19" s="81">
        <f t="shared" si="213"/>
        <v>0</v>
      </c>
      <c r="FR19" s="77" t="s">
        <v>8</v>
      </c>
      <c r="FS19" s="31" t="s">
        <v>8</v>
      </c>
      <c r="FT19" s="36">
        <f t="shared" si="214"/>
        <v>0.70725926949891282</v>
      </c>
      <c r="FU19" s="34">
        <f t="shared" si="215"/>
        <v>3.5532875997476121E-2</v>
      </c>
      <c r="FV19" s="35">
        <f t="shared" si="216"/>
        <v>493218.22086097737</v>
      </c>
      <c r="FW19" s="81">
        <f t="shared" si="217"/>
        <v>0</v>
      </c>
      <c r="FX19" s="77" t="s">
        <v>8</v>
      </c>
      <c r="FY19" s="31" t="s">
        <v>8</v>
      </c>
      <c r="FZ19" s="36">
        <f t="shared" si="218"/>
        <v>0.70725926949891282</v>
      </c>
      <c r="GA19" s="34">
        <f t="shared" si="219"/>
        <v>3.5532875997476121E-2</v>
      </c>
      <c r="GB19" s="35">
        <f t="shared" si="220"/>
        <v>493218.22086097737</v>
      </c>
      <c r="GC19" s="81">
        <f t="shared" si="221"/>
        <v>0</v>
      </c>
      <c r="GD19" s="77" t="s">
        <v>8</v>
      </c>
      <c r="GE19" s="31" t="s">
        <v>8</v>
      </c>
      <c r="GF19" s="36">
        <f t="shared" si="222"/>
        <v>0.70725926949891282</v>
      </c>
      <c r="GG19" s="34">
        <f t="shared" si="223"/>
        <v>3.5532875997476121E-2</v>
      </c>
      <c r="GH19" s="35">
        <f t="shared" si="224"/>
        <v>493218.22086097737</v>
      </c>
      <c r="GI19" s="128">
        <f t="shared" si="225"/>
        <v>0</v>
      </c>
      <c r="GJ19" s="185">
        <f t="shared" si="227"/>
        <v>2562481.9008790818</v>
      </c>
      <c r="GK19" s="98">
        <f t="shared" si="228"/>
        <v>3528050.1780588147</v>
      </c>
      <c r="GL19" s="261">
        <f t="shared" si="226"/>
        <v>0.7072592694989126</v>
      </c>
      <c r="GM19" s="254"/>
      <c r="GN19" s="254"/>
      <c r="GO19" s="191"/>
    </row>
    <row r="20" spans="1:197" s="26" customFormat="1" ht="53.25" customHeight="1" thickBot="1" x14ac:dyDescent="0.3">
      <c r="A20" s="136" t="s">
        <v>185</v>
      </c>
      <c r="B20" s="162" t="s">
        <v>8</v>
      </c>
      <c r="C20" s="162" t="s">
        <v>8</v>
      </c>
      <c r="D20" s="162" t="s">
        <v>8</v>
      </c>
      <c r="E20" s="162" t="s">
        <v>8</v>
      </c>
      <c r="F20" s="162" t="s">
        <v>8</v>
      </c>
      <c r="G20" s="107">
        <f>'Исходные данные'!C22</f>
        <v>565</v>
      </c>
      <c r="H20" s="32">
        <f>'Исходные данные'!D22</f>
        <v>922954</v>
      </c>
      <c r="I20" s="33">
        <f>'Расчет КРП'!E18</f>
        <v>3.6304548959136467</v>
      </c>
      <c r="J20" s="114" t="s">
        <v>8</v>
      </c>
      <c r="K20" s="118">
        <f t="shared" si="104"/>
        <v>0.15619968320543356</v>
      </c>
      <c r="L20" s="78">
        <f t="shared" si="105"/>
        <v>338848.49478667643</v>
      </c>
      <c r="M20" s="74">
        <f t="shared" si="106"/>
        <v>0.21354601632747094</v>
      </c>
      <c r="N20" s="31" t="s">
        <v>8</v>
      </c>
      <c r="O20" s="34">
        <f t="shared" si="107"/>
        <v>0.24817288582255242</v>
      </c>
      <c r="P20" s="182">
        <f t="shared" si="108"/>
        <v>1771701.9076187485</v>
      </c>
      <c r="Q20" s="172">
        <f t="shared" si="109"/>
        <v>1771701.9076187485</v>
      </c>
      <c r="R20" s="167" t="s">
        <v>8</v>
      </c>
      <c r="S20" s="31" t="s">
        <v>8</v>
      </c>
      <c r="T20" s="36">
        <f t="shared" si="110"/>
        <v>0.51338682822547554</v>
      </c>
      <c r="U20" s="34">
        <f t="shared" si="111"/>
        <v>5.1678755403467336E-2</v>
      </c>
      <c r="V20" s="54">
        <f t="shared" si="112"/>
        <v>400058.47749960888</v>
      </c>
      <c r="W20" s="81">
        <f t="shared" si="113"/>
        <v>400058.47749960888</v>
      </c>
      <c r="X20" s="77" t="s">
        <v>8</v>
      </c>
      <c r="Y20" s="31" t="s">
        <v>8</v>
      </c>
      <c r="Z20" s="36">
        <f t="shared" si="114"/>
        <v>0.58109226906985878</v>
      </c>
      <c r="AA20" s="34">
        <f t="shared" si="115"/>
        <v>5.7568408242701374E-2</v>
      </c>
      <c r="AB20" s="54">
        <f t="shared" si="116"/>
        <v>476020.17225443607</v>
      </c>
      <c r="AC20" s="81">
        <f t="shared" si="117"/>
        <v>476020.17225443607</v>
      </c>
      <c r="AD20" s="77" t="s">
        <v>8</v>
      </c>
      <c r="AE20" s="31" t="s">
        <v>8</v>
      </c>
      <c r="AF20" s="36">
        <f t="shared" si="118"/>
        <v>0.66165338057220768</v>
      </c>
      <c r="AG20" s="34">
        <f t="shared" si="119"/>
        <v>4.0904747249843387E-2</v>
      </c>
      <c r="AH20" s="54">
        <f t="shared" si="120"/>
        <v>356042.63608792773</v>
      </c>
      <c r="AI20" s="81">
        <f t="shared" si="121"/>
        <v>266187.73753742996</v>
      </c>
      <c r="AJ20" s="77" t="s">
        <v>8</v>
      </c>
      <c r="AK20" s="31" t="s">
        <v>8</v>
      </c>
      <c r="AL20" s="36">
        <f t="shared" si="122"/>
        <v>0.70670268993813246</v>
      </c>
      <c r="AM20" s="34">
        <f t="shared" si="123"/>
        <v>3.6089455558256489E-2</v>
      </c>
      <c r="AN20" s="54">
        <f t="shared" si="124"/>
        <v>324236.46882024762</v>
      </c>
      <c r="AO20" s="81">
        <f t="shared" si="125"/>
        <v>0</v>
      </c>
      <c r="AP20" s="77" t="s">
        <v>8</v>
      </c>
      <c r="AQ20" s="31" t="s">
        <v>8</v>
      </c>
      <c r="AR20" s="36">
        <f t="shared" si="126"/>
        <v>0.70670268993813246</v>
      </c>
      <c r="AS20" s="34">
        <f t="shared" si="127"/>
        <v>3.6089455558256489E-2</v>
      </c>
      <c r="AT20" s="54">
        <f t="shared" si="128"/>
        <v>324236.46882024762</v>
      </c>
      <c r="AU20" s="80">
        <f t="shared" si="129"/>
        <v>0</v>
      </c>
      <c r="AV20" s="77" t="s">
        <v>8</v>
      </c>
      <c r="AW20" s="31" t="s">
        <v>8</v>
      </c>
      <c r="AX20" s="36">
        <f t="shared" si="130"/>
        <v>0.70670268993813246</v>
      </c>
      <c r="AY20" s="34">
        <f t="shared" si="131"/>
        <v>3.6089455558256489E-2</v>
      </c>
      <c r="AZ20" s="54">
        <f t="shared" si="132"/>
        <v>324236.46882024762</v>
      </c>
      <c r="BA20" s="81">
        <f t="shared" si="133"/>
        <v>0</v>
      </c>
      <c r="BB20" s="77" t="s">
        <v>8</v>
      </c>
      <c r="BC20" s="31" t="s">
        <v>8</v>
      </c>
      <c r="BD20" s="36">
        <f t="shared" si="134"/>
        <v>0.70670268993813246</v>
      </c>
      <c r="BE20" s="34">
        <f t="shared" si="135"/>
        <v>3.6089455558256489E-2</v>
      </c>
      <c r="BF20" s="54">
        <f t="shared" si="136"/>
        <v>324236.46882024762</v>
      </c>
      <c r="BG20" s="81">
        <f t="shared" si="137"/>
        <v>0</v>
      </c>
      <c r="BH20" s="77" t="s">
        <v>8</v>
      </c>
      <c r="BI20" s="31" t="s">
        <v>8</v>
      </c>
      <c r="BJ20" s="36">
        <f t="shared" si="138"/>
        <v>0.70670268993813246</v>
      </c>
      <c r="BK20" s="34">
        <f t="shared" si="139"/>
        <v>3.6089455558256489E-2</v>
      </c>
      <c r="BL20" s="54">
        <f t="shared" si="140"/>
        <v>324236.46882024762</v>
      </c>
      <c r="BM20" s="81">
        <f t="shared" si="141"/>
        <v>0</v>
      </c>
      <c r="BN20" s="77" t="s">
        <v>8</v>
      </c>
      <c r="BO20" s="31" t="s">
        <v>8</v>
      </c>
      <c r="BP20" s="36">
        <f t="shared" si="142"/>
        <v>0.70670268993813246</v>
      </c>
      <c r="BQ20" s="34">
        <f t="shared" si="143"/>
        <v>3.6089455558256489E-2</v>
      </c>
      <c r="BR20" s="54">
        <f t="shared" si="144"/>
        <v>324236.46882024762</v>
      </c>
      <c r="BS20" s="128">
        <f t="shared" si="145"/>
        <v>0</v>
      </c>
      <c r="BT20" s="77" t="s">
        <v>8</v>
      </c>
      <c r="BU20" s="31" t="s">
        <v>8</v>
      </c>
      <c r="BV20" s="36">
        <f t="shared" si="146"/>
        <v>0.70670268993813246</v>
      </c>
      <c r="BW20" s="34">
        <f t="shared" si="147"/>
        <v>3.6089455558256489E-2</v>
      </c>
      <c r="BX20" s="54">
        <f t="shared" si="148"/>
        <v>324236.46882024762</v>
      </c>
      <c r="BY20" s="128">
        <f t="shared" si="149"/>
        <v>0</v>
      </c>
      <c r="BZ20" s="77" t="s">
        <v>8</v>
      </c>
      <c r="CA20" s="31" t="s">
        <v>8</v>
      </c>
      <c r="CB20" s="36">
        <f t="shared" si="150"/>
        <v>0.70670268993813246</v>
      </c>
      <c r="CC20" s="34">
        <f t="shared" si="151"/>
        <v>3.6089455558256489E-2</v>
      </c>
      <c r="CD20" s="54">
        <f t="shared" si="152"/>
        <v>324236.46882024762</v>
      </c>
      <c r="CE20" s="128">
        <f t="shared" si="153"/>
        <v>0</v>
      </c>
      <c r="CF20" s="77" t="s">
        <v>8</v>
      </c>
      <c r="CG20" s="31" t="s">
        <v>8</v>
      </c>
      <c r="CH20" s="36">
        <f t="shared" si="154"/>
        <v>0.70670268993813246</v>
      </c>
      <c r="CI20" s="34">
        <f t="shared" si="155"/>
        <v>3.6089455558256489E-2</v>
      </c>
      <c r="CJ20" s="54">
        <f t="shared" si="156"/>
        <v>324236.46882024762</v>
      </c>
      <c r="CK20" s="128">
        <f t="shared" si="157"/>
        <v>0</v>
      </c>
      <c r="CL20" s="77" t="s">
        <v>8</v>
      </c>
      <c r="CM20" s="31" t="s">
        <v>8</v>
      </c>
      <c r="CN20" s="36">
        <f t="shared" si="158"/>
        <v>0.70670268993813246</v>
      </c>
      <c r="CO20" s="34">
        <f t="shared" si="159"/>
        <v>3.6089455558256489E-2</v>
      </c>
      <c r="CP20" s="54">
        <f t="shared" si="160"/>
        <v>324236.46882024762</v>
      </c>
      <c r="CQ20" s="128">
        <f t="shared" si="161"/>
        <v>0</v>
      </c>
      <c r="CR20" s="77" t="s">
        <v>8</v>
      </c>
      <c r="CS20" s="31" t="s">
        <v>8</v>
      </c>
      <c r="CT20" s="36">
        <f t="shared" si="162"/>
        <v>0.70670268993813246</v>
      </c>
      <c r="CU20" s="34">
        <f t="shared" si="163"/>
        <v>3.6089455558256489E-2</v>
      </c>
      <c r="CV20" s="54">
        <f t="shared" si="164"/>
        <v>324236.46882024762</v>
      </c>
      <c r="CW20" s="128">
        <f t="shared" si="165"/>
        <v>0</v>
      </c>
      <c r="CX20" s="77" t="s">
        <v>8</v>
      </c>
      <c r="CY20" s="31" t="s">
        <v>8</v>
      </c>
      <c r="CZ20" s="36">
        <f t="shared" si="166"/>
        <v>0.70670268993813246</v>
      </c>
      <c r="DA20" s="34">
        <f t="shared" si="167"/>
        <v>3.6089455558256489E-2</v>
      </c>
      <c r="DB20" s="54">
        <f t="shared" si="168"/>
        <v>324236.46882024762</v>
      </c>
      <c r="DC20" s="128">
        <f t="shared" si="169"/>
        <v>0</v>
      </c>
      <c r="DD20" s="77" t="s">
        <v>8</v>
      </c>
      <c r="DE20" s="31" t="s">
        <v>8</v>
      </c>
      <c r="DF20" s="36">
        <f t="shared" si="170"/>
        <v>0.70670268993813246</v>
      </c>
      <c r="DG20" s="34">
        <f t="shared" si="171"/>
        <v>3.6089455558256489E-2</v>
      </c>
      <c r="DH20" s="54">
        <f t="shared" si="172"/>
        <v>324236.46882024762</v>
      </c>
      <c r="DI20" s="128">
        <f t="shared" si="173"/>
        <v>0</v>
      </c>
      <c r="DJ20" s="77" t="s">
        <v>8</v>
      </c>
      <c r="DK20" s="31" t="s">
        <v>8</v>
      </c>
      <c r="DL20" s="36">
        <f t="shared" si="174"/>
        <v>0.70670268993813246</v>
      </c>
      <c r="DM20" s="34">
        <f t="shared" si="175"/>
        <v>3.6089455558256489E-2</v>
      </c>
      <c r="DN20" s="54">
        <f t="shared" si="176"/>
        <v>324236.46882024762</v>
      </c>
      <c r="DO20" s="128">
        <f t="shared" si="177"/>
        <v>0</v>
      </c>
      <c r="DP20" s="77" t="s">
        <v>8</v>
      </c>
      <c r="DQ20" s="31" t="s">
        <v>8</v>
      </c>
      <c r="DR20" s="36">
        <f t="shared" si="178"/>
        <v>0.70670268993813246</v>
      </c>
      <c r="DS20" s="34">
        <f t="shared" si="179"/>
        <v>3.6089455558256489E-2</v>
      </c>
      <c r="DT20" s="54">
        <f t="shared" si="180"/>
        <v>324236.46882024762</v>
      </c>
      <c r="DU20" s="128">
        <f t="shared" si="181"/>
        <v>0</v>
      </c>
      <c r="DV20" s="77" t="s">
        <v>8</v>
      </c>
      <c r="DW20" s="31" t="s">
        <v>8</v>
      </c>
      <c r="DX20" s="36">
        <f t="shared" si="182"/>
        <v>0.70670268993813246</v>
      </c>
      <c r="DY20" s="34">
        <f t="shared" si="183"/>
        <v>3.6089455558256489E-2</v>
      </c>
      <c r="DZ20" s="35">
        <f t="shared" si="184"/>
        <v>324236.46882024762</v>
      </c>
      <c r="EA20" s="81">
        <f t="shared" si="185"/>
        <v>0</v>
      </c>
      <c r="EB20" s="77" t="s">
        <v>8</v>
      </c>
      <c r="EC20" s="31" t="s">
        <v>8</v>
      </c>
      <c r="ED20" s="36">
        <f t="shared" si="186"/>
        <v>0.70670268993813246</v>
      </c>
      <c r="EE20" s="34">
        <f t="shared" si="187"/>
        <v>3.6089455558256489E-2</v>
      </c>
      <c r="EF20" s="35">
        <f t="shared" si="188"/>
        <v>324236.46882024762</v>
      </c>
      <c r="EG20" s="81">
        <f t="shared" si="189"/>
        <v>0</v>
      </c>
      <c r="EH20" s="77" t="s">
        <v>8</v>
      </c>
      <c r="EI20" s="31" t="s">
        <v>8</v>
      </c>
      <c r="EJ20" s="36">
        <f t="shared" si="190"/>
        <v>0.70670268993813246</v>
      </c>
      <c r="EK20" s="34">
        <f t="shared" si="191"/>
        <v>3.6089455558256489E-2</v>
      </c>
      <c r="EL20" s="35">
        <f t="shared" si="192"/>
        <v>324236.46882024762</v>
      </c>
      <c r="EM20" s="81">
        <f t="shared" si="193"/>
        <v>0</v>
      </c>
      <c r="EN20" s="77" t="s">
        <v>8</v>
      </c>
      <c r="EO20" s="31" t="s">
        <v>8</v>
      </c>
      <c r="EP20" s="36">
        <f t="shared" si="194"/>
        <v>0.70670268993813246</v>
      </c>
      <c r="EQ20" s="34">
        <f t="shared" si="195"/>
        <v>3.6089455558256489E-2</v>
      </c>
      <c r="ER20" s="35">
        <f t="shared" si="196"/>
        <v>324236.46882024762</v>
      </c>
      <c r="ES20" s="81">
        <f t="shared" si="197"/>
        <v>0</v>
      </c>
      <c r="ET20" s="77" t="s">
        <v>8</v>
      </c>
      <c r="EU20" s="31" t="s">
        <v>8</v>
      </c>
      <c r="EV20" s="36">
        <f t="shared" si="198"/>
        <v>0.70670268993813246</v>
      </c>
      <c r="EW20" s="34">
        <f t="shared" si="199"/>
        <v>3.6089455558256489E-2</v>
      </c>
      <c r="EX20" s="35">
        <f t="shared" si="200"/>
        <v>324236.46882024762</v>
      </c>
      <c r="EY20" s="81">
        <f t="shared" si="201"/>
        <v>0</v>
      </c>
      <c r="EZ20" s="77" t="s">
        <v>8</v>
      </c>
      <c r="FA20" s="31" t="s">
        <v>8</v>
      </c>
      <c r="FB20" s="36">
        <f t="shared" si="202"/>
        <v>0.70670268993813246</v>
      </c>
      <c r="FC20" s="34">
        <f t="shared" si="203"/>
        <v>3.6089455558256489E-2</v>
      </c>
      <c r="FD20" s="35">
        <f t="shared" si="204"/>
        <v>324236.46882024762</v>
      </c>
      <c r="FE20" s="81">
        <f t="shared" si="205"/>
        <v>0</v>
      </c>
      <c r="FF20" s="77" t="s">
        <v>8</v>
      </c>
      <c r="FG20" s="31" t="s">
        <v>8</v>
      </c>
      <c r="FH20" s="36">
        <f t="shared" si="206"/>
        <v>0.70670268993813246</v>
      </c>
      <c r="FI20" s="34">
        <f t="shared" si="207"/>
        <v>3.6089455558256489E-2</v>
      </c>
      <c r="FJ20" s="35">
        <f t="shared" si="208"/>
        <v>324236.46882024762</v>
      </c>
      <c r="FK20" s="81">
        <f t="shared" si="209"/>
        <v>0</v>
      </c>
      <c r="FL20" s="77" t="s">
        <v>8</v>
      </c>
      <c r="FM20" s="31" t="s">
        <v>8</v>
      </c>
      <c r="FN20" s="36">
        <f t="shared" si="210"/>
        <v>0.70670268993813246</v>
      </c>
      <c r="FO20" s="34">
        <f t="shared" si="211"/>
        <v>3.6089455558256489E-2</v>
      </c>
      <c r="FP20" s="35">
        <f t="shared" si="212"/>
        <v>324236.46882024762</v>
      </c>
      <c r="FQ20" s="81">
        <f t="shared" si="213"/>
        <v>0</v>
      </c>
      <c r="FR20" s="77" t="s">
        <v>8</v>
      </c>
      <c r="FS20" s="31" t="s">
        <v>8</v>
      </c>
      <c r="FT20" s="36">
        <f t="shared" si="214"/>
        <v>0.70670268993813246</v>
      </c>
      <c r="FU20" s="34">
        <f t="shared" si="215"/>
        <v>3.6089455558256489E-2</v>
      </c>
      <c r="FV20" s="35">
        <f t="shared" si="216"/>
        <v>324236.46882024762</v>
      </c>
      <c r="FW20" s="81">
        <f t="shared" si="217"/>
        <v>0</v>
      </c>
      <c r="FX20" s="77" t="s">
        <v>8</v>
      </c>
      <c r="FY20" s="31" t="s">
        <v>8</v>
      </c>
      <c r="FZ20" s="36">
        <f t="shared" si="218"/>
        <v>0.70670268993813246</v>
      </c>
      <c r="GA20" s="34">
        <f t="shared" si="219"/>
        <v>3.6089455558256489E-2</v>
      </c>
      <c r="GB20" s="35">
        <f t="shared" si="220"/>
        <v>324236.46882024762</v>
      </c>
      <c r="GC20" s="81">
        <f t="shared" si="221"/>
        <v>0</v>
      </c>
      <c r="GD20" s="77" t="s">
        <v>8</v>
      </c>
      <c r="GE20" s="31" t="s">
        <v>8</v>
      </c>
      <c r="GF20" s="36">
        <f t="shared" si="222"/>
        <v>0.70670268993813246</v>
      </c>
      <c r="GG20" s="34">
        <f t="shared" si="223"/>
        <v>3.6089455558256489E-2</v>
      </c>
      <c r="GH20" s="35">
        <f t="shared" si="224"/>
        <v>324236.46882024762</v>
      </c>
      <c r="GI20" s="128">
        <f t="shared" si="225"/>
        <v>0</v>
      </c>
      <c r="GJ20" s="185">
        <f t="shared" si="227"/>
        <v>2913968.2949102237</v>
      </c>
      <c r="GK20" s="98">
        <f t="shared" si="228"/>
        <v>3252816.7896969002</v>
      </c>
      <c r="GL20" s="261">
        <f t="shared" si="226"/>
        <v>0.70670268993813234</v>
      </c>
      <c r="GM20" s="254"/>
      <c r="GN20" s="254"/>
      <c r="GO20" s="191"/>
    </row>
    <row r="21" spans="1:197" s="26" customFormat="1" ht="64.5" customHeight="1" thickBot="1" x14ac:dyDescent="0.3">
      <c r="A21" s="136" t="s">
        <v>186</v>
      </c>
      <c r="B21" s="163" t="s">
        <v>8</v>
      </c>
      <c r="C21" s="163" t="s">
        <v>8</v>
      </c>
      <c r="D21" s="163" t="s">
        <v>8</v>
      </c>
      <c r="E21" s="163" t="s">
        <v>8</v>
      </c>
      <c r="F21" s="163" t="s">
        <v>8</v>
      </c>
      <c r="G21" s="148">
        <f>'Исходные данные'!C23</f>
        <v>20509</v>
      </c>
      <c r="H21" s="149">
        <f>'Исходные данные'!D23</f>
        <v>70674203</v>
      </c>
      <c r="I21" s="150">
        <f>'Расчет КРП'!E19</f>
        <v>1.5322924698021074</v>
      </c>
      <c r="J21" s="151" t="s">
        <v>8</v>
      </c>
      <c r="K21" s="152">
        <f t="shared" si="104"/>
        <v>0.78070031203966106</v>
      </c>
      <c r="L21" s="153">
        <f t="shared" si="105"/>
        <v>12299900.494831763</v>
      </c>
      <c r="M21" s="154">
        <f t="shared" si="106"/>
        <v>0.91657076754903477</v>
      </c>
      <c r="N21" s="155" t="s">
        <v>8</v>
      </c>
      <c r="O21" s="156">
        <f t="shared" si="107"/>
        <v>-0.4548518653990114</v>
      </c>
      <c r="P21" s="182">
        <f t="shared" si="108"/>
        <v>0</v>
      </c>
      <c r="Q21" s="172">
        <f t="shared" si="109"/>
        <v>0</v>
      </c>
      <c r="R21" s="168" t="s">
        <v>8</v>
      </c>
      <c r="S21" s="155" t="s">
        <v>8</v>
      </c>
      <c r="T21" s="158">
        <f t="shared" si="110"/>
        <v>0.91657076754903477</v>
      </c>
      <c r="U21" s="156">
        <f t="shared" si="111"/>
        <v>-0.35150518392009189</v>
      </c>
      <c r="V21" s="54">
        <f t="shared" si="112"/>
        <v>0</v>
      </c>
      <c r="W21" s="157">
        <f t="shared" si="113"/>
        <v>0</v>
      </c>
      <c r="X21" s="147" t="s">
        <v>8</v>
      </c>
      <c r="Y21" s="155" t="s">
        <v>8</v>
      </c>
      <c r="Z21" s="158">
        <f t="shared" si="114"/>
        <v>0.91657076754903477</v>
      </c>
      <c r="AA21" s="156">
        <f t="shared" si="115"/>
        <v>-0.27791009023647462</v>
      </c>
      <c r="AB21" s="54">
        <f t="shared" si="116"/>
        <v>0</v>
      </c>
      <c r="AC21" s="157">
        <f t="shared" si="117"/>
        <v>0</v>
      </c>
      <c r="AD21" s="147" t="s">
        <v>8</v>
      </c>
      <c r="AE21" s="155" t="s">
        <v>8</v>
      </c>
      <c r="AF21" s="158">
        <f t="shared" si="118"/>
        <v>0.91657076754903477</v>
      </c>
      <c r="AG21" s="156">
        <f t="shared" si="119"/>
        <v>-0.2140126397269837</v>
      </c>
      <c r="AH21" s="54">
        <f t="shared" si="120"/>
        <v>0</v>
      </c>
      <c r="AI21" s="157">
        <f t="shared" si="121"/>
        <v>0</v>
      </c>
      <c r="AJ21" s="147" t="s">
        <v>8</v>
      </c>
      <c r="AK21" s="155" t="s">
        <v>8</v>
      </c>
      <c r="AL21" s="158">
        <f t="shared" si="122"/>
        <v>0.91657076754903477</v>
      </c>
      <c r="AM21" s="156">
        <f t="shared" si="123"/>
        <v>-0.17377862205264583</v>
      </c>
      <c r="AN21" s="54">
        <f t="shared" si="124"/>
        <v>0</v>
      </c>
      <c r="AO21" s="157">
        <f t="shared" si="125"/>
        <v>0</v>
      </c>
      <c r="AP21" s="147" t="s">
        <v>8</v>
      </c>
      <c r="AQ21" s="155" t="s">
        <v>8</v>
      </c>
      <c r="AR21" s="158">
        <f t="shared" si="126"/>
        <v>0.91657076754903477</v>
      </c>
      <c r="AS21" s="156">
        <f t="shared" si="127"/>
        <v>-0.17377862205264583</v>
      </c>
      <c r="AT21" s="54">
        <f t="shared" si="128"/>
        <v>0</v>
      </c>
      <c r="AU21" s="80">
        <f t="shared" si="129"/>
        <v>0</v>
      </c>
      <c r="AV21" s="147" t="s">
        <v>8</v>
      </c>
      <c r="AW21" s="155" t="s">
        <v>8</v>
      </c>
      <c r="AX21" s="158">
        <f t="shared" si="130"/>
        <v>0.91657076754903477</v>
      </c>
      <c r="AY21" s="156">
        <f t="shared" si="131"/>
        <v>-0.17377862205264583</v>
      </c>
      <c r="AZ21" s="54">
        <f t="shared" si="132"/>
        <v>0</v>
      </c>
      <c r="BA21" s="157">
        <f t="shared" si="133"/>
        <v>0</v>
      </c>
      <c r="BB21" s="147" t="s">
        <v>8</v>
      </c>
      <c r="BC21" s="155" t="s">
        <v>8</v>
      </c>
      <c r="BD21" s="158">
        <f t="shared" si="134"/>
        <v>0.91657076754903477</v>
      </c>
      <c r="BE21" s="156">
        <f t="shared" si="135"/>
        <v>-0.17377862205264583</v>
      </c>
      <c r="BF21" s="54">
        <f t="shared" si="136"/>
        <v>0</v>
      </c>
      <c r="BG21" s="157">
        <f t="shared" si="137"/>
        <v>0</v>
      </c>
      <c r="BH21" s="147" t="s">
        <v>8</v>
      </c>
      <c r="BI21" s="155" t="s">
        <v>8</v>
      </c>
      <c r="BJ21" s="158">
        <f t="shared" si="138"/>
        <v>0.91657076754903477</v>
      </c>
      <c r="BK21" s="156">
        <f t="shared" si="139"/>
        <v>-0.17377862205264583</v>
      </c>
      <c r="BL21" s="54">
        <f t="shared" si="140"/>
        <v>0</v>
      </c>
      <c r="BM21" s="157">
        <f t="shared" si="141"/>
        <v>0</v>
      </c>
      <c r="BN21" s="147" t="s">
        <v>8</v>
      </c>
      <c r="BO21" s="155" t="s">
        <v>8</v>
      </c>
      <c r="BP21" s="158">
        <f t="shared" si="142"/>
        <v>0.91657076754903477</v>
      </c>
      <c r="BQ21" s="156">
        <f t="shared" si="143"/>
        <v>-0.17377862205264583</v>
      </c>
      <c r="BR21" s="54">
        <f t="shared" si="144"/>
        <v>0</v>
      </c>
      <c r="BS21" s="159">
        <f t="shared" si="145"/>
        <v>0</v>
      </c>
      <c r="BT21" s="147" t="s">
        <v>8</v>
      </c>
      <c r="BU21" s="155" t="s">
        <v>8</v>
      </c>
      <c r="BV21" s="158">
        <f t="shared" si="146"/>
        <v>0.91657076754903477</v>
      </c>
      <c r="BW21" s="156">
        <f t="shared" si="147"/>
        <v>-0.17377862205264583</v>
      </c>
      <c r="BX21" s="54">
        <f t="shared" si="148"/>
        <v>0</v>
      </c>
      <c r="BY21" s="159">
        <f t="shared" si="149"/>
        <v>0</v>
      </c>
      <c r="BZ21" s="147" t="s">
        <v>8</v>
      </c>
      <c r="CA21" s="155" t="s">
        <v>8</v>
      </c>
      <c r="CB21" s="158">
        <f t="shared" si="150"/>
        <v>0.91657076754903477</v>
      </c>
      <c r="CC21" s="156">
        <f t="shared" si="151"/>
        <v>-0.17377862205264583</v>
      </c>
      <c r="CD21" s="54">
        <f t="shared" si="152"/>
        <v>0</v>
      </c>
      <c r="CE21" s="159">
        <f t="shared" si="153"/>
        <v>0</v>
      </c>
      <c r="CF21" s="147" t="s">
        <v>8</v>
      </c>
      <c r="CG21" s="155" t="s">
        <v>8</v>
      </c>
      <c r="CH21" s="158">
        <f t="shared" si="154"/>
        <v>0.91657076754903477</v>
      </c>
      <c r="CI21" s="156">
        <f t="shared" si="155"/>
        <v>-0.17377862205264583</v>
      </c>
      <c r="CJ21" s="54">
        <f t="shared" si="156"/>
        <v>0</v>
      </c>
      <c r="CK21" s="159">
        <f t="shared" si="157"/>
        <v>0</v>
      </c>
      <c r="CL21" s="147" t="s">
        <v>8</v>
      </c>
      <c r="CM21" s="155" t="s">
        <v>8</v>
      </c>
      <c r="CN21" s="158">
        <f t="shared" si="158"/>
        <v>0.91657076754903477</v>
      </c>
      <c r="CO21" s="156">
        <f t="shared" si="159"/>
        <v>-0.17377862205264583</v>
      </c>
      <c r="CP21" s="54">
        <f t="shared" si="160"/>
        <v>0</v>
      </c>
      <c r="CQ21" s="159">
        <f t="shared" si="161"/>
        <v>0</v>
      </c>
      <c r="CR21" s="147" t="s">
        <v>8</v>
      </c>
      <c r="CS21" s="155" t="s">
        <v>8</v>
      </c>
      <c r="CT21" s="158">
        <f t="shared" si="162"/>
        <v>0.91657076754903477</v>
      </c>
      <c r="CU21" s="156">
        <f t="shared" si="163"/>
        <v>-0.17377862205264583</v>
      </c>
      <c r="CV21" s="54">
        <f t="shared" si="164"/>
        <v>0</v>
      </c>
      <c r="CW21" s="159">
        <f t="shared" si="165"/>
        <v>0</v>
      </c>
      <c r="CX21" s="147" t="s">
        <v>8</v>
      </c>
      <c r="CY21" s="155" t="s">
        <v>8</v>
      </c>
      <c r="CZ21" s="158">
        <f t="shared" si="166"/>
        <v>0.91657076754903477</v>
      </c>
      <c r="DA21" s="156">
        <f t="shared" si="167"/>
        <v>-0.17377862205264583</v>
      </c>
      <c r="DB21" s="54">
        <f t="shared" si="168"/>
        <v>0</v>
      </c>
      <c r="DC21" s="159">
        <f t="shared" si="169"/>
        <v>0</v>
      </c>
      <c r="DD21" s="147" t="s">
        <v>8</v>
      </c>
      <c r="DE21" s="155" t="s">
        <v>8</v>
      </c>
      <c r="DF21" s="158">
        <f t="shared" si="170"/>
        <v>0.91657076754903477</v>
      </c>
      <c r="DG21" s="156">
        <f t="shared" si="171"/>
        <v>-0.17377862205264583</v>
      </c>
      <c r="DH21" s="54">
        <f t="shared" si="172"/>
        <v>0</v>
      </c>
      <c r="DI21" s="159">
        <f t="shared" si="173"/>
        <v>0</v>
      </c>
      <c r="DJ21" s="147" t="s">
        <v>8</v>
      </c>
      <c r="DK21" s="155" t="s">
        <v>8</v>
      </c>
      <c r="DL21" s="158">
        <f t="shared" si="174"/>
        <v>0.91657076754903477</v>
      </c>
      <c r="DM21" s="156">
        <f t="shared" si="175"/>
        <v>-0.17377862205264583</v>
      </c>
      <c r="DN21" s="54">
        <f t="shared" si="176"/>
        <v>0</v>
      </c>
      <c r="DO21" s="159">
        <f t="shared" si="177"/>
        <v>0</v>
      </c>
      <c r="DP21" s="147" t="s">
        <v>8</v>
      </c>
      <c r="DQ21" s="155" t="s">
        <v>8</v>
      </c>
      <c r="DR21" s="158">
        <f t="shared" si="178"/>
        <v>0.91657076754903477</v>
      </c>
      <c r="DS21" s="156">
        <f t="shared" si="179"/>
        <v>-0.17377862205264583</v>
      </c>
      <c r="DT21" s="54">
        <f t="shared" si="180"/>
        <v>0</v>
      </c>
      <c r="DU21" s="159">
        <f t="shared" si="181"/>
        <v>0</v>
      </c>
      <c r="DV21" s="147" t="s">
        <v>8</v>
      </c>
      <c r="DW21" s="155" t="s">
        <v>8</v>
      </c>
      <c r="DX21" s="36">
        <f t="shared" si="182"/>
        <v>0.91657076754903477</v>
      </c>
      <c r="DY21" s="156">
        <f t="shared" si="183"/>
        <v>-0.17377862205264583</v>
      </c>
      <c r="DZ21" s="35">
        <f t="shared" si="184"/>
        <v>0</v>
      </c>
      <c r="EA21" s="157">
        <f t="shared" si="185"/>
        <v>0</v>
      </c>
      <c r="EB21" s="147" t="s">
        <v>8</v>
      </c>
      <c r="EC21" s="155" t="s">
        <v>8</v>
      </c>
      <c r="ED21" s="36">
        <f t="shared" si="186"/>
        <v>0.91657076754903477</v>
      </c>
      <c r="EE21" s="156">
        <f t="shared" si="187"/>
        <v>-0.17377862205264583</v>
      </c>
      <c r="EF21" s="35">
        <f t="shared" si="188"/>
        <v>0</v>
      </c>
      <c r="EG21" s="157">
        <f t="shared" si="189"/>
        <v>0</v>
      </c>
      <c r="EH21" s="147" t="s">
        <v>8</v>
      </c>
      <c r="EI21" s="155" t="s">
        <v>8</v>
      </c>
      <c r="EJ21" s="36">
        <f t="shared" si="190"/>
        <v>0.91657076754903477</v>
      </c>
      <c r="EK21" s="156">
        <f t="shared" si="191"/>
        <v>-0.17377862205264583</v>
      </c>
      <c r="EL21" s="35">
        <f t="shared" si="192"/>
        <v>0</v>
      </c>
      <c r="EM21" s="157">
        <f t="shared" si="193"/>
        <v>0</v>
      </c>
      <c r="EN21" s="147" t="s">
        <v>8</v>
      </c>
      <c r="EO21" s="155" t="s">
        <v>8</v>
      </c>
      <c r="EP21" s="36">
        <f t="shared" si="194"/>
        <v>0.91657076754903477</v>
      </c>
      <c r="EQ21" s="156">
        <f t="shared" si="195"/>
        <v>-0.17377862205264583</v>
      </c>
      <c r="ER21" s="35">
        <f t="shared" si="196"/>
        <v>0</v>
      </c>
      <c r="ES21" s="157">
        <f t="shared" si="197"/>
        <v>0</v>
      </c>
      <c r="ET21" s="147" t="s">
        <v>8</v>
      </c>
      <c r="EU21" s="155" t="s">
        <v>8</v>
      </c>
      <c r="EV21" s="36">
        <f t="shared" si="198"/>
        <v>0.91657076754903477</v>
      </c>
      <c r="EW21" s="156">
        <f t="shared" si="199"/>
        <v>-0.17377862205264583</v>
      </c>
      <c r="EX21" s="35">
        <f t="shared" si="200"/>
        <v>0</v>
      </c>
      <c r="EY21" s="157">
        <f t="shared" si="201"/>
        <v>0</v>
      </c>
      <c r="EZ21" s="147" t="s">
        <v>8</v>
      </c>
      <c r="FA21" s="155" t="s">
        <v>8</v>
      </c>
      <c r="FB21" s="36">
        <f t="shared" si="202"/>
        <v>0.91657076754903477</v>
      </c>
      <c r="FC21" s="156">
        <f t="shared" si="203"/>
        <v>-0.17377862205264583</v>
      </c>
      <c r="FD21" s="35">
        <f t="shared" si="204"/>
        <v>0</v>
      </c>
      <c r="FE21" s="157">
        <f t="shared" si="205"/>
        <v>0</v>
      </c>
      <c r="FF21" s="147" t="s">
        <v>8</v>
      </c>
      <c r="FG21" s="155" t="s">
        <v>8</v>
      </c>
      <c r="FH21" s="36">
        <f t="shared" si="206"/>
        <v>0.91657076754903477</v>
      </c>
      <c r="FI21" s="156">
        <f t="shared" si="207"/>
        <v>-0.17377862205264583</v>
      </c>
      <c r="FJ21" s="35">
        <f t="shared" si="208"/>
        <v>0</v>
      </c>
      <c r="FK21" s="157">
        <f t="shared" si="209"/>
        <v>0</v>
      </c>
      <c r="FL21" s="147" t="s">
        <v>8</v>
      </c>
      <c r="FM21" s="155" t="s">
        <v>8</v>
      </c>
      <c r="FN21" s="36">
        <f t="shared" si="210"/>
        <v>0.91657076754903477</v>
      </c>
      <c r="FO21" s="156">
        <f t="shared" si="211"/>
        <v>-0.17377862205264583</v>
      </c>
      <c r="FP21" s="35">
        <f t="shared" si="212"/>
        <v>0</v>
      </c>
      <c r="FQ21" s="157">
        <f t="shared" si="213"/>
        <v>0</v>
      </c>
      <c r="FR21" s="147" t="s">
        <v>8</v>
      </c>
      <c r="FS21" s="155" t="s">
        <v>8</v>
      </c>
      <c r="FT21" s="36">
        <f t="shared" si="214"/>
        <v>0.91657076754903477</v>
      </c>
      <c r="FU21" s="156">
        <f t="shared" si="215"/>
        <v>-0.17377862205264583</v>
      </c>
      <c r="FV21" s="35">
        <f t="shared" si="216"/>
        <v>0</v>
      </c>
      <c r="FW21" s="157">
        <f t="shared" si="217"/>
        <v>0</v>
      </c>
      <c r="FX21" s="147" t="s">
        <v>8</v>
      </c>
      <c r="FY21" s="155" t="s">
        <v>8</v>
      </c>
      <c r="FZ21" s="36">
        <f t="shared" si="218"/>
        <v>0.91657076754903477</v>
      </c>
      <c r="GA21" s="156">
        <f t="shared" si="219"/>
        <v>-0.17377862205264583</v>
      </c>
      <c r="GB21" s="35">
        <f t="shared" si="220"/>
        <v>0</v>
      </c>
      <c r="GC21" s="157">
        <f t="shared" si="221"/>
        <v>0</v>
      </c>
      <c r="GD21" s="147" t="s">
        <v>8</v>
      </c>
      <c r="GE21" s="155" t="s">
        <v>8</v>
      </c>
      <c r="GF21" s="36">
        <f t="shared" si="222"/>
        <v>0.91657076754903477</v>
      </c>
      <c r="GG21" s="156">
        <f t="shared" si="223"/>
        <v>-0.17377862205264583</v>
      </c>
      <c r="GH21" s="35">
        <f t="shared" si="224"/>
        <v>0</v>
      </c>
      <c r="GI21" s="159">
        <f t="shared" si="225"/>
        <v>0</v>
      </c>
      <c r="GJ21" s="185">
        <f t="shared" si="227"/>
        <v>0</v>
      </c>
      <c r="GK21" s="98">
        <f t="shared" si="228"/>
        <v>12299900.494831763</v>
      </c>
      <c r="GL21" s="261">
        <f t="shared" si="226"/>
        <v>0.91657076754903466</v>
      </c>
      <c r="GM21" s="254"/>
      <c r="GN21" s="254"/>
      <c r="GO21" s="191"/>
    </row>
    <row r="22" spans="1:197" s="30" customFormat="1" ht="16.5" thickBot="1" x14ac:dyDescent="0.3">
      <c r="A22" s="102" t="s">
        <v>6</v>
      </c>
      <c r="B22" s="125">
        <v>53205211</v>
      </c>
      <c r="C22" s="120">
        <v>40</v>
      </c>
      <c r="D22" s="82">
        <f>B22*C22/100</f>
        <v>21282084.399999999</v>
      </c>
      <c r="E22" s="109">
        <f>100-C22</f>
        <v>60</v>
      </c>
      <c r="F22" s="82">
        <f>B22-D22</f>
        <v>31923126.600000001</v>
      </c>
      <c r="G22" s="108">
        <f>SUM(G9:G21)</f>
        <v>35486</v>
      </c>
      <c r="H22" s="108">
        <f>SUM(H9:H21)</f>
        <v>102222727</v>
      </c>
      <c r="I22" s="46" t="s">
        <v>8</v>
      </c>
      <c r="J22" s="180">
        <f>H22/G22</f>
        <v>2880.6494673955926</v>
      </c>
      <c r="K22" s="119" t="s">
        <v>8</v>
      </c>
      <c r="L22" s="79">
        <f>SUM(L9:L21)</f>
        <v>21282084.399999999</v>
      </c>
      <c r="M22" s="75" t="s">
        <v>8</v>
      </c>
      <c r="N22" s="47">
        <f>(SUMIF(M9:M21,"&lt;1")+1)/(COUNTIFS(M9:M21,"&lt;1")+1)</f>
        <v>0.46171890215002337</v>
      </c>
      <c r="O22" s="48" t="s">
        <v>8</v>
      </c>
      <c r="P22" s="45">
        <f>P9+P10+P11+P12+P13+P14+P15+P16+P17+P18+P19+P20</f>
        <v>10419365.79459412</v>
      </c>
      <c r="Q22" s="45">
        <f>Q9+Q10+Q11+Q12+Q13+Q14+Q15+Q16+Q17+Q18+Q19+Q20</f>
        <v>10419365.79459412</v>
      </c>
      <c r="R22" s="84">
        <f>F22-Q22</f>
        <v>21503760.805405881</v>
      </c>
      <c r="S22" s="47">
        <f>(SUMIF(T9:T21,"&lt;1")+1)/(COUNTIFS(T9:T21,"&lt;1")+1)</f>
        <v>0.56506558362894288</v>
      </c>
      <c r="T22" s="48" t="s">
        <v>8</v>
      </c>
      <c r="U22" s="48" t="s">
        <v>8</v>
      </c>
      <c r="V22" s="45">
        <f>V9+V10+V11+V12+V13+V14+V15+V16+V17+V18+V19+V20</f>
        <v>9126095.677337043</v>
      </c>
      <c r="W22" s="45">
        <f>W9+W10+W11+W12+W13+W14+W15+W16+W17+W18+W19+W20</f>
        <v>9126095.677337043</v>
      </c>
      <c r="X22" s="84">
        <f>R22-W22</f>
        <v>12377665.128068838</v>
      </c>
      <c r="Y22" s="47">
        <f>(SUMIF(Z9:Z21,"&lt;1")+1)/(COUNTIFS(Z9:Z21,"&lt;1")+1)</f>
        <v>0.63866067731256015</v>
      </c>
      <c r="Z22" s="48" t="s">
        <v>8</v>
      </c>
      <c r="AA22" s="48" t="s">
        <v>8</v>
      </c>
      <c r="AB22" s="45">
        <f>AB9+AB10+AB11+AB12+AB13+AB14+AB15+AB16+AB17+AB18+AB19+AB20+AB21</f>
        <v>7532693.8531764811</v>
      </c>
      <c r="AC22" s="45">
        <f>AC9+AC10+AC11+AC12+AC13+AC14+AC15+AC16+AC17+AC18+AC19+AC20+AC21</f>
        <v>7532693.8531764811</v>
      </c>
      <c r="AD22" s="84">
        <f>X22-AC22</f>
        <v>4844971.2748923572</v>
      </c>
      <c r="AE22" s="47">
        <f>(SUMIF(AF9:AF21,"&lt;1")+1)/(COUNTIFS(AF9:AF21,"&lt;1")+1)</f>
        <v>0.70255812782205107</v>
      </c>
      <c r="AF22" s="48" t="s">
        <v>8</v>
      </c>
      <c r="AG22" s="48" t="s">
        <v>8</v>
      </c>
      <c r="AH22" s="45">
        <f>AH9+AH10+AH11+AH12+AH13+AH14+AH15+AH16+AH17+AH18+AH19+AH20+AH21</f>
        <v>6480450.0779845268</v>
      </c>
      <c r="AI22" s="45">
        <f>AI9+AI10+AI11+AI12+AI13+AI14+AI15+AI16+AI17+AI18+AI19+AI20+AI21</f>
        <v>4844971.2748923553</v>
      </c>
      <c r="AJ22" s="84">
        <f>AD22-AI22</f>
        <v>0</v>
      </c>
      <c r="AK22" s="47">
        <f>(SUMIF(AL9:AL21,"&lt;1")+1)/(COUNTIFS(AL9:AL21,"&lt;1")+1)</f>
        <v>0.74279214549638894</v>
      </c>
      <c r="AL22" s="48" t="s">
        <v>8</v>
      </c>
      <c r="AM22" s="48" t="s">
        <v>8</v>
      </c>
      <c r="AN22" s="45">
        <f>AN9+AN10+AN11+AN12+AN13+AN14+AN15+AN16+AN17+AN18+AN19+AN20+AN21</f>
        <v>5592354.0664086817</v>
      </c>
      <c r="AO22" s="45">
        <f>AO9+AO10+AO11+AO12+AO13+AO14+AO15+AO16+AO17+AO18+AO19+AO20+AO21</f>
        <v>0</v>
      </c>
      <c r="AP22" s="84">
        <f>AJ22-AO22</f>
        <v>0</v>
      </c>
      <c r="AQ22" s="47">
        <f>(SUMIF(AR9:AR21,"&lt;1")+1)/(COUNTIFS(AR9:AR21,"&lt;1")+1)</f>
        <v>0.74279214549638894</v>
      </c>
      <c r="AR22" s="48" t="s">
        <v>8</v>
      </c>
      <c r="AS22" s="48" t="s">
        <v>8</v>
      </c>
      <c r="AT22" s="45">
        <f>AT9+AT10+AT11+AT12+AT13+AT14+AT15+AT16+AT17+AT18+AT19+AT20+AT21</f>
        <v>5592354.0664086817</v>
      </c>
      <c r="AU22" s="80">
        <f t="shared" si="129"/>
        <v>0</v>
      </c>
      <c r="AV22" s="84">
        <f>AP22-AU22</f>
        <v>0</v>
      </c>
      <c r="AW22" s="47">
        <f>(SUMIF(AX9:AX21,"&lt;1")+1)/(COUNTIFS(AX9:AX21,"&lt;1")+1)</f>
        <v>0.74279214549638894</v>
      </c>
      <c r="AX22" s="48" t="s">
        <v>8</v>
      </c>
      <c r="AY22" s="48" t="s">
        <v>8</v>
      </c>
      <c r="AZ22" s="45">
        <f>AZ9+AZ10+AZ11+AZ12+AZ13+AZ14+AZ15+AZ16+AZ17+AZ18+AZ19+AZ20+AZ21</f>
        <v>5592354.0664086817</v>
      </c>
      <c r="BA22" s="45">
        <f>BA9+BA10+BA11+BA12+BA13+BA14+BA15+BA16+BA17+BA18+BA19+BA20+BA21</f>
        <v>0</v>
      </c>
      <c r="BB22" s="84">
        <f>AV22-BA22</f>
        <v>0</v>
      </c>
      <c r="BC22" s="47">
        <f>(SUMIF(BD9:BD21,"&lt;1")+1)/(COUNTIFS(BD9:BD21,"&lt;1")+1)</f>
        <v>0.74279214549638894</v>
      </c>
      <c r="BD22" s="48" t="s">
        <v>8</v>
      </c>
      <c r="BE22" s="48" t="s">
        <v>8</v>
      </c>
      <c r="BF22" s="45">
        <f>SUM(BF9:BF21)</f>
        <v>5592354.0664086817</v>
      </c>
      <c r="BG22" s="45">
        <f>SUM(BG9:BG21)</f>
        <v>0</v>
      </c>
      <c r="BH22" s="84">
        <f>BB22-BG22</f>
        <v>0</v>
      </c>
      <c r="BI22" s="47">
        <f>(SUMIF(BJ9:BJ21,"&lt;1")+1)/(COUNTIFS(BJ9:BJ21,"&lt;1")+1)</f>
        <v>0.74279214549638894</v>
      </c>
      <c r="BJ22" s="48" t="s">
        <v>8</v>
      </c>
      <c r="BK22" s="48" t="s">
        <v>8</v>
      </c>
      <c r="BL22" s="45">
        <f>SUM(BL9:BL21)</f>
        <v>5592354.0664086817</v>
      </c>
      <c r="BM22" s="45">
        <f>SUM(BM9:BM21)</f>
        <v>0</v>
      </c>
      <c r="BN22" s="84">
        <f>BH22-BM22</f>
        <v>0</v>
      </c>
      <c r="BO22" s="47">
        <f>(SUMIF(BP9:BP21,"&lt;1")+1)/(COUNTIFS(BP9:BP21,"&lt;1")+1)</f>
        <v>0.74279214549638894</v>
      </c>
      <c r="BP22" s="48" t="s">
        <v>8</v>
      </c>
      <c r="BQ22" s="48" t="s">
        <v>8</v>
      </c>
      <c r="BR22" s="45">
        <f>SUM(BR9:BR21)</f>
        <v>5592354.0664086817</v>
      </c>
      <c r="BS22" s="45">
        <f>SUM(BS9:BS21)</f>
        <v>0</v>
      </c>
      <c r="BT22" s="84">
        <f>BN22-BS22</f>
        <v>0</v>
      </c>
      <c r="BU22" s="47">
        <f>(SUMIF(BV9:BV21,"&lt;1")+1)/(COUNTIFS(BV9:BV21,"&lt;1")+1)</f>
        <v>0.74279214549638894</v>
      </c>
      <c r="BV22" s="48" t="s">
        <v>8</v>
      </c>
      <c r="BW22" s="48" t="s">
        <v>8</v>
      </c>
      <c r="BX22" s="45">
        <f>SUM(BX9:BX21)</f>
        <v>5592354.0664086817</v>
      </c>
      <c r="BY22" s="45">
        <f>SUM(BY9:BY21)</f>
        <v>0</v>
      </c>
      <c r="BZ22" s="84">
        <f>BT22-BY22</f>
        <v>0</v>
      </c>
      <c r="CA22" s="47">
        <f>(SUMIF(CB9:CB21,"&lt;1")+1)/(COUNTIFS(CB9:CB21,"&lt;1")+1)</f>
        <v>0.74279214549638894</v>
      </c>
      <c r="CB22" s="48" t="s">
        <v>8</v>
      </c>
      <c r="CC22" s="48" t="s">
        <v>8</v>
      </c>
      <c r="CD22" s="45">
        <f>SUM(CD9:CD21)</f>
        <v>5592354.0664086817</v>
      </c>
      <c r="CE22" s="45">
        <f>SUM(CE9:CE21)</f>
        <v>0</v>
      </c>
      <c r="CF22" s="84">
        <f>BZ22-CE22</f>
        <v>0</v>
      </c>
      <c r="CG22" s="47">
        <f>(SUMIF(CH9:CH21,"&lt;1")+1)/(COUNTIFS(CH9:CH21,"&lt;1")+1)</f>
        <v>0.74279214549638894</v>
      </c>
      <c r="CH22" s="48" t="s">
        <v>8</v>
      </c>
      <c r="CI22" s="48" t="s">
        <v>8</v>
      </c>
      <c r="CJ22" s="45">
        <f>SUM(CJ9:CJ21)</f>
        <v>5592354.0664086817</v>
      </c>
      <c r="CK22" s="45">
        <f>SUM(CK9:CK21)</f>
        <v>0</v>
      </c>
      <c r="CL22" s="84">
        <f>CF22-CK22</f>
        <v>0</v>
      </c>
      <c r="CM22" s="47">
        <f>(SUMIF(CN9:CN21,"&lt;1")+1)/(COUNTIFS(CN9:CN21,"&lt;1")+1)</f>
        <v>0.74279214549638894</v>
      </c>
      <c r="CN22" s="48" t="s">
        <v>8</v>
      </c>
      <c r="CO22" s="48" t="s">
        <v>8</v>
      </c>
      <c r="CP22" s="45">
        <f>SUM(CP9:CP21)</f>
        <v>5592354.0664086817</v>
      </c>
      <c r="CQ22" s="45">
        <f>SUM(CQ9:CQ21)</f>
        <v>0</v>
      </c>
      <c r="CR22" s="84">
        <f>CL22-CQ22</f>
        <v>0</v>
      </c>
      <c r="CS22" s="47">
        <f>(SUMIF(CT9:CT21,"&lt;1")+1)/(COUNTIFS(CT9:CT21,"&lt;1")+1)</f>
        <v>0.74279214549638894</v>
      </c>
      <c r="CT22" s="48" t="s">
        <v>8</v>
      </c>
      <c r="CU22" s="48" t="s">
        <v>8</v>
      </c>
      <c r="CV22" s="45">
        <f>SUM(CV9:CV21)</f>
        <v>5592354.0664086817</v>
      </c>
      <c r="CW22" s="45">
        <f>SUM(CW9:CW21)</f>
        <v>0</v>
      </c>
      <c r="CX22" s="84">
        <f>CR22-CW22</f>
        <v>0</v>
      </c>
      <c r="CY22" s="47">
        <f>(SUMIF(CZ9:CZ21,"&lt;1")+1)/(COUNTIFS(CZ9:CZ21,"&lt;1")+1)</f>
        <v>0.74279214549638894</v>
      </c>
      <c r="CZ22" s="48" t="s">
        <v>8</v>
      </c>
      <c r="DA22" s="48" t="s">
        <v>8</v>
      </c>
      <c r="DB22" s="45">
        <f>SUM(DB9:DB21)</f>
        <v>5592354.0664086817</v>
      </c>
      <c r="DC22" s="45">
        <f>SUM(DC9:DC21)</f>
        <v>0</v>
      </c>
      <c r="DD22" s="84">
        <f>CX22-DC22</f>
        <v>0</v>
      </c>
      <c r="DE22" s="47">
        <f>(SUMIF(DF9:DF21,"&lt;1")+1)/(COUNTIFS(DF9:DF21,"&lt;1")+1)</f>
        <v>0.74279214549638894</v>
      </c>
      <c r="DF22" s="48" t="s">
        <v>8</v>
      </c>
      <c r="DG22" s="48" t="s">
        <v>8</v>
      </c>
      <c r="DH22" s="45">
        <f>SUM(DH9:DH21)</f>
        <v>5592354.0664086817</v>
      </c>
      <c r="DI22" s="45">
        <f>SUM(DI9:DI21)</f>
        <v>0</v>
      </c>
      <c r="DJ22" s="84">
        <f>DD22-DI22</f>
        <v>0</v>
      </c>
      <c r="DK22" s="47">
        <f>(SUMIF(DL9:DL21,"&lt;1")+1)/(COUNTIFS(DL9:DL21,"&lt;1")+1)</f>
        <v>0.74279214549638894</v>
      </c>
      <c r="DL22" s="48" t="s">
        <v>8</v>
      </c>
      <c r="DM22" s="48" t="s">
        <v>8</v>
      </c>
      <c r="DN22" s="45">
        <f>SUM(DN9:DN21)</f>
        <v>5592354.0664086817</v>
      </c>
      <c r="DO22" s="45">
        <f>SUM(DO9:DO21)</f>
        <v>0</v>
      </c>
      <c r="DP22" s="84">
        <f>DJ22-DO22</f>
        <v>0</v>
      </c>
      <c r="DQ22" s="47">
        <f>(SUMIF(DR9:DR21,"&lt;1")+1)/(COUNTIFS(DR9:DR21,"&lt;1")+1)</f>
        <v>0.74279214549638894</v>
      </c>
      <c r="DR22" s="48" t="s">
        <v>8</v>
      </c>
      <c r="DS22" s="48" t="s">
        <v>8</v>
      </c>
      <c r="DT22" s="45">
        <f>SUM(DT9:DT21)</f>
        <v>5592354.0664086817</v>
      </c>
      <c r="DU22" s="45">
        <f>SUM(DU9:DU21)</f>
        <v>0</v>
      </c>
      <c r="DV22" s="84">
        <f>DP22-DU22</f>
        <v>0</v>
      </c>
      <c r="DW22" s="47">
        <f>(SUMIF(DX9:DX21,"&lt;1")+1)/(COUNTIFS(DX9:DX21,"&lt;1")+1)</f>
        <v>0.74279214549638894</v>
      </c>
      <c r="DX22" s="48" t="s">
        <v>8</v>
      </c>
      <c r="DY22" s="48" t="s">
        <v>8</v>
      </c>
      <c r="DZ22" s="160">
        <f>SUM(DZ9:DZ21)</f>
        <v>5592354.0664086817</v>
      </c>
      <c r="EA22" s="45">
        <f>SUM(EA9:EA21)</f>
        <v>0</v>
      </c>
      <c r="EB22" s="84">
        <f>DV22-EA22</f>
        <v>0</v>
      </c>
      <c r="EC22" s="47">
        <f>(SUMIF(ED9:ED21,"&lt;1")+1)/(COUNTIFS(ED9:ED21,"&lt;1")+1)</f>
        <v>0.74279214549638894</v>
      </c>
      <c r="ED22" s="48" t="s">
        <v>8</v>
      </c>
      <c r="EE22" s="48" t="s">
        <v>8</v>
      </c>
      <c r="EF22" s="160">
        <f>SUM(EF9:EF21)</f>
        <v>5592354.0664086817</v>
      </c>
      <c r="EG22" s="45">
        <f>SUM(EG9:EG21)</f>
        <v>0</v>
      </c>
      <c r="EH22" s="84">
        <f>EB22-EG22</f>
        <v>0</v>
      </c>
      <c r="EI22" s="47">
        <f>(SUMIF(EJ9:EJ21,"&lt;1")+1)/(COUNTIFS(EJ9:EJ21,"&lt;1")+1)</f>
        <v>0.74279214549638894</v>
      </c>
      <c r="EJ22" s="48" t="s">
        <v>8</v>
      </c>
      <c r="EK22" s="48" t="s">
        <v>8</v>
      </c>
      <c r="EL22" s="160">
        <f>SUM(EL9:EL21)</f>
        <v>5592354.0664086817</v>
      </c>
      <c r="EM22" s="45">
        <f>SUM(EM9:EM21)</f>
        <v>0</v>
      </c>
      <c r="EN22" s="84">
        <f>EH22-EM22</f>
        <v>0</v>
      </c>
      <c r="EO22" s="47">
        <f>(SUMIF(EP9:EP21,"&lt;1")+1)/(COUNTIFS(EP9:EP21,"&lt;1")+1)</f>
        <v>0.74279214549638894</v>
      </c>
      <c r="EP22" s="48" t="s">
        <v>8</v>
      </c>
      <c r="EQ22" s="48" t="s">
        <v>8</v>
      </c>
      <c r="ER22" s="160">
        <f>SUM(ER9:ER21)</f>
        <v>5592354.0664086817</v>
      </c>
      <c r="ES22" s="45">
        <f>SUM(ES9:ES21)</f>
        <v>0</v>
      </c>
      <c r="ET22" s="84">
        <f>EN22-ES22</f>
        <v>0</v>
      </c>
      <c r="EU22" s="47">
        <f>(SUMIF(EV9:EV21,"&lt;1")+1)/(COUNTIFS(EV9:EV21,"&lt;1")+1)</f>
        <v>0.74279214549638894</v>
      </c>
      <c r="EV22" s="48" t="s">
        <v>8</v>
      </c>
      <c r="EW22" s="48" t="s">
        <v>8</v>
      </c>
      <c r="EX22" s="160">
        <f>SUM(EX9:EX21)</f>
        <v>5592354.0664086817</v>
      </c>
      <c r="EY22" s="45">
        <f>SUM(EY9:EY21)</f>
        <v>0</v>
      </c>
      <c r="EZ22" s="84">
        <f>ET22-EY22</f>
        <v>0</v>
      </c>
      <c r="FA22" s="47">
        <f>(SUMIF(FB9:FB21,"&lt;1")+1)/(COUNTIFS(FB9:FB21,"&lt;1")+1)</f>
        <v>0.74279214549638894</v>
      </c>
      <c r="FB22" s="48" t="s">
        <v>8</v>
      </c>
      <c r="FC22" s="48" t="s">
        <v>8</v>
      </c>
      <c r="FD22" s="160">
        <f>SUM(FD9:FD21)</f>
        <v>5592354.0664086817</v>
      </c>
      <c r="FE22" s="45">
        <f>SUM(FE9:FE21)</f>
        <v>0</v>
      </c>
      <c r="FF22" s="84">
        <f>EZ22-FE22</f>
        <v>0</v>
      </c>
      <c r="FG22" s="47">
        <f>(SUMIF(FH9:FH21,"&lt;1")+1)/(COUNTIFS(FH9:FH21,"&lt;1")+1)</f>
        <v>0.74279214549638894</v>
      </c>
      <c r="FH22" s="48" t="s">
        <v>8</v>
      </c>
      <c r="FI22" s="48" t="s">
        <v>8</v>
      </c>
      <c r="FJ22" s="160">
        <f>SUM(FJ9:FJ21)</f>
        <v>5592354.0664086817</v>
      </c>
      <c r="FK22" s="45">
        <f>SUM(FK9:FK21)</f>
        <v>0</v>
      </c>
      <c r="FL22" s="84">
        <f>FF22-FK22</f>
        <v>0</v>
      </c>
      <c r="FM22" s="47">
        <f>(SUMIF(FN9:FN21,"&lt;1")+1)/(COUNTIFS(FN9:FN21,"&lt;1")+1)</f>
        <v>0.74279214549638894</v>
      </c>
      <c r="FN22" s="48" t="s">
        <v>8</v>
      </c>
      <c r="FO22" s="48" t="s">
        <v>8</v>
      </c>
      <c r="FP22" s="160">
        <f>SUM(FP9:FP21)</f>
        <v>5592354.0664086817</v>
      </c>
      <c r="FQ22" s="45">
        <f>SUM(FQ9:FQ21)</f>
        <v>0</v>
      </c>
      <c r="FR22" s="84">
        <f>FL22-FQ22</f>
        <v>0</v>
      </c>
      <c r="FS22" s="47">
        <f>(SUMIF(FT9:FT21,"&lt;1")+1)/(COUNTIFS(FT9:FT21,"&lt;1")+1)</f>
        <v>0.74279214549638894</v>
      </c>
      <c r="FT22" s="48" t="s">
        <v>8</v>
      </c>
      <c r="FU22" s="48" t="s">
        <v>8</v>
      </c>
      <c r="FV22" s="160">
        <f>SUM(FV9:FV21)</f>
        <v>5592354.0664086817</v>
      </c>
      <c r="FW22" s="45">
        <f>SUM(FW9:FW21)</f>
        <v>0</v>
      </c>
      <c r="FX22" s="84">
        <f>FR22-FW22</f>
        <v>0</v>
      </c>
      <c r="FY22" s="47">
        <f>(SUMIF(FZ9:FZ21,"&lt;1")+1)/(COUNTIFS(FZ9:FZ21,"&lt;1")+1)</f>
        <v>0.74279214549638894</v>
      </c>
      <c r="FZ22" s="48" t="s">
        <v>8</v>
      </c>
      <c r="GA22" s="48" t="s">
        <v>8</v>
      </c>
      <c r="GB22" s="160">
        <f>SUM(GB9:GB21)</f>
        <v>5592354.0664086817</v>
      </c>
      <c r="GC22" s="45">
        <f>SUM(GC9:GC21)</f>
        <v>0</v>
      </c>
      <c r="GD22" s="84">
        <f>FX22-GC22</f>
        <v>0</v>
      </c>
      <c r="GE22" s="47">
        <f>(SUMIF(GF9:GF21,"&lt;1")+1)/(COUNTIFS(GF9:GF21,"&lt;1")+1)</f>
        <v>0.74279214549638894</v>
      </c>
      <c r="GF22" s="48" t="s">
        <v>8</v>
      </c>
      <c r="GG22" s="48" t="s">
        <v>8</v>
      </c>
      <c r="GH22" s="160">
        <f>SUM(GH9:GH21)</f>
        <v>5592354.0664086817</v>
      </c>
      <c r="GI22" s="45">
        <f>SUM(GI9:GI21)</f>
        <v>0</v>
      </c>
      <c r="GJ22" s="185">
        <f>Q22+W22+AC22+AI22+AO22+AU22+BA22+BG22+BM22+BS22+BY22+CE22+CK22+CQ22+CW22+DC22+DI22+DO22</f>
        <v>31923126.600000001</v>
      </c>
      <c r="GK22" s="187">
        <f>L22+GJ22</f>
        <v>53205211</v>
      </c>
      <c r="GL22" s="262" t="s">
        <v>8</v>
      </c>
      <c r="GM22" s="255"/>
      <c r="GN22" s="254"/>
      <c r="GO22" s="191"/>
    </row>
    <row r="23" spans="1:197" x14ac:dyDescent="0.2">
      <c r="GM23" s="256"/>
      <c r="GN23" s="256"/>
      <c r="GO23" s="191"/>
    </row>
    <row r="24" spans="1:197" x14ac:dyDescent="0.2">
      <c r="P24" s="25"/>
      <c r="Q24" s="129"/>
      <c r="R24" s="129"/>
      <c r="S24" s="129"/>
      <c r="T24" s="129"/>
      <c r="U24" s="129"/>
      <c r="V24" s="129"/>
      <c r="W24" s="129"/>
      <c r="X24" s="129"/>
      <c r="Y24" s="129"/>
      <c r="Z24" s="129"/>
      <c r="AA24" s="129"/>
      <c r="AB24" s="129"/>
      <c r="AC24" s="129"/>
      <c r="AD24" s="129"/>
      <c r="AE24" s="129"/>
      <c r="AF24" s="129"/>
      <c r="AG24" s="129"/>
      <c r="AH24" s="129"/>
      <c r="AI24" s="129"/>
      <c r="AJ24" s="129"/>
      <c r="AK24" s="129"/>
      <c r="AL24" s="129"/>
      <c r="AM24" s="129"/>
      <c r="AN24" s="129"/>
      <c r="AO24" s="129"/>
      <c r="AP24" s="129"/>
      <c r="AQ24" s="129"/>
      <c r="AR24" s="129"/>
      <c r="AS24" s="129"/>
      <c r="AT24" s="129"/>
      <c r="AU24" s="129"/>
      <c r="AV24" s="129"/>
      <c r="AW24" s="129"/>
      <c r="AX24" s="129"/>
      <c r="AY24" s="129"/>
      <c r="AZ24" s="129"/>
      <c r="BA24" s="129"/>
      <c r="BB24" s="129"/>
      <c r="BC24" s="129"/>
      <c r="BD24" s="129"/>
      <c r="BE24" s="129"/>
      <c r="BF24" s="129"/>
      <c r="BG24" s="129"/>
      <c r="BH24" s="129"/>
      <c r="BI24" s="129"/>
      <c r="BJ24" s="129"/>
      <c r="BK24" s="129"/>
      <c r="BL24" s="129"/>
      <c r="BM24" s="129"/>
      <c r="BN24" s="129"/>
      <c r="BO24" s="129"/>
      <c r="BP24" s="129"/>
      <c r="BQ24" s="129"/>
      <c r="BR24" s="129"/>
      <c r="BS24" s="129"/>
      <c r="BT24" s="129"/>
      <c r="BU24" s="129"/>
      <c r="BV24" s="129"/>
      <c r="BW24" s="129"/>
      <c r="BX24" s="129"/>
      <c r="BY24" s="129"/>
      <c r="BZ24" s="129"/>
      <c r="CA24" s="129"/>
      <c r="CB24" s="129"/>
      <c r="CC24" s="129"/>
      <c r="CD24" s="129"/>
      <c r="CE24" s="129"/>
      <c r="GJ24" s="129"/>
      <c r="GK24" s="129"/>
      <c r="GO24" s="129"/>
    </row>
    <row r="26" spans="1:197" x14ac:dyDescent="0.2">
      <c r="GJ26" s="129"/>
      <c r="GK26" s="129"/>
    </row>
    <row r="27" spans="1:197" x14ac:dyDescent="0.2">
      <c r="M27" s="24"/>
    </row>
  </sheetData>
  <protectedRanges>
    <protectedRange sqref="A9:A21" name="Диапазон3_1"/>
    <protectedRange sqref="A9:A21" name="Диапазон2_1"/>
  </protectedRanges>
  <mergeCells count="48">
    <mergeCell ref="FF4:FK4"/>
    <mergeCell ref="FL4:FQ4"/>
    <mergeCell ref="FR4:FW4"/>
    <mergeCell ref="FX4:GC4"/>
    <mergeCell ref="GD4:GI4"/>
    <mergeCell ref="EB4:EG4"/>
    <mergeCell ref="EH4:EM4"/>
    <mergeCell ref="EN4:ES4"/>
    <mergeCell ref="ET4:EY4"/>
    <mergeCell ref="EZ4:FE4"/>
    <mergeCell ref="CX4:DC4"/>
    <mergeCell ref="DD4:DI4"/>
    <mergeCell ref="DJ4:DO4"/>
    <mergeCell ref="DP4:DU4"/>
    <mergeCell ref="DV4:EA4"/>
    <mergeCell ref="BT4:BY4"/>
    <mergeCell ref="BZ4:CE4"/>
    <mergeCell ref="CF4:CK4"/>
    <mergeCell ref="CL4:CQ4"/>
    <mergeCell ref="CR4:CW4"/>
    <mergeCell ref="GJ3:GJ5"/>
    <mergeCell ref="GL3:GL5"/>
    <mergeCell ref="I4:I5"/>
    <mergeCell ref="GK3:GK5"/>
    <mergeCell ref="A3:A6"/>
    <mergeCell ref="B3:B5"/>
    <mergeCell ref="C3:F3"/>
    <mergeCell ref="C5:D5"/>
    <mergeCell ref="E5:F5"/>
    <mergeCell ref="C4:D4"/>
    <mergeCell ref="E4:F4"/>
    <mergeCell ref="BH4:BM4"/>
    <mergeCell ref="G4:G5"/>
    <mergeCell ref="H4:H5"/>
    <mergeCell ref="M4:Q4"/>
    <mergeCell ref="L4:L5"/>
    <mergeCell ref="G3:J3"/>
    <mergeCell ref="J4:J5"/>
    <mergeCell ref="M3:BS3"/>
    <mergeCell ref="K3:K5"/>
    <mergeCell ref="R4:W4"/>
    <mergeCell ref="X4:AC4"/>
    <mergeCell ref="BN4:BS4"/>
    <mergeCell ref="AD4:AI4"/>
    <mergeCell ref="AJ4:AO4"/>
    <mergeCell ref="AP4:AU4"/>
    <mergeCell ref="AV4:BA4"/>
    <mergeCell ref="BB4:BG4"/>
  </mergeCells>
  <printOptions horizontalCentered="1"/>
  <pageMargins left="0.27" right="0.17" top="0.39" bottom="0.16" header="0.73" footer="0.25"/>
  <pageSetup paperSize="9" scale="51" firstPageNumber="0" fitToWidth="0" pageOrder="overThenDown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8</vt:i4>
      </vt:variant>
    </vt:vector>
  </HeadingPairs>
  <TitlesOfParts>
    <vt:vector size="11" baseType="lpstr">
      <vt:lpstr>Исходные данные</vt:lpstr>
      <vt:lpstr>Расчет КРП</vt:lpstr>
      <vt:lpstr>Расчет дотации</vt:lpstr>
      <vt:lpstr>'Исходные данные'!Excel_BuiltIn_Print_Titles</vt:lpstr>
      <vt:lpstr>'Исходные данные'!Z_287B6B75_F102_4A35_99B4_72102AA4A344__wvu_FilterData</vt:lpstr>
      <vt:lpstr>'Исходные данные'!Z_287B6B75_F102_4A35_99B4_72102AA4A344__wvu_PrintArea</vt:lpstr>
      <vt:lpstr>'Исходные данные'!Z_287B6B75_F102_4A35_99B4_72102AA4A344__wvu_PrintTitles</vt:lpstr>
      <vt:lpstr>'Расчет дотации'!Z_287B6B75_F102_4A35_99B4_72102AA4A344__wvu_PrintTitles</vt:lpstr>
      <vt:lpstr>'Исходные данные'!Заголовки_для_печати</vt:lpstr>
      <vt:lpstr>'Расчет дотации'!Заголовки_для_печати</vt:lpstr>
      <vt:lpstr>'Исходные данные'!Область_печати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Nezevak Незевак В В</dc:creator>
  <cp:lastModifiedBy>Пользователь Windows</cp:lastModifiedBy>
  <cp:lastPrinted>2024-10-04T09:26:34Z</cp:lastPrinted>
  <dcterms:created xsi:type="dcterms:W3CDTF">2013-11-15T09:40:24Z</dcterms:created>
  <dcterms:modified xsi:type="dcterms:W3CDTF">2024-10-16T09:04:47Z</dcterms:modified>
</cp:coreProperties>
</file>